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Utilisateurs\DAVID-LECOURT_Claire-Anne\Patrimoine\GT EE Enquetes etablissements\methodo facteur 4\Livrables\fin\"/>
    </mc:Choice>
  </mc:AlternateContent>
  <bookViews>
    <workbookView xWindow="0" yWindow="0" windowWidth="27555" windowHeight="8685" activeTab="1"/>
  </bookViews>
  <sheets>
    <sheet name="1_Etat Initial" sheetId="5" r:id="rId1"/>
    <sheet name="2_Plan d'actions" sheetId="1" r:id="rId2"/>
    <sheet name="3_Etat Final" sheetId="7" r:id="rId3"/>
    <sheet name="Feuil1" sheetId="4" state="hidden" r:id="rId4"/>
    <sheet name="liste" sheetId="2" state="hidden" r:id="rId5"/>
  </sheets>
  <definedNames>
    <definedName name="_xlnm._FilterDatabase" localSheetId="1" hidden="1">'2_Plan d''actions'!$A$6:$AF$53</definedName>
    <definedName name="_xlnm.Print_Titles" localSheetId="1">'2_Plan d''actions'!$1:$6</definedName>
    <definedName name="_xlnm.Print_Area" localSheetId="0">'1_Etat Initial'!$A$1:$P$42</definedName>
    <definedName name="_xlnm.Print_Area" localSheetId="1">'2_Plan d''actions'!$A$4:$AI$53</definedName>
    <definedName name="_xlnm.Print_Area" localSheetId="2">'3_Etat Final'!$A$1:$O$60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9" i="1" l="1"/>
  <c r="R41" i="1" l="1"/>
  <c r="T41" i="1"/>
  <c r="U41" i="1"/>
  <c r="S41" i="1"/>
  <c r="Q41" i="1"/>
  <c r="AD41" i="1"/>
  <c r="AE41" i="1" s="1"/>
  <c r="AF41" i="1"/>
  <c r="L41" i="1"/>
  <c r="B37" i="5" l="1"/>
  <c r="B23" i="5"/>
  <c r="AE22" i="1" l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2" i="1"/>
  <c r="AE43" i="1"/>
  <c r="AE44" i="1"/>
  <c r="AE45" i="1"/>
  <c r="AE46" i="1"/>
  <c r="AE47" i="1"/>
  <c r="AE48" i="1"/>
  <c r="AE49" i="1"/>
  <c r="AE50" i="1"/>
  <c r="AE51" i="1"/>
  <c r="AE52" i="1"/>
  <c r="AE11" i="1"/>
  <c r="AE12" i="1"/>
  <c r="AE13" i="1"/>
  <c r="AE14" i="1"/>
  <c r="AE15" i="1"/>
  <c r="AE16" i="1"/>
  <c r="AE17" i="1"/>
  <c r="AE18" i="1"/>
  <c r="AE19" i="1"/>
  <c r="AE20" i="1"/>
  <c r="AE21" i="1"/>
  <c r="AE8" i="1"/>
  <c r="AE9" i="1"/>
  <c r="AE10" i="1"/>
  <c r="AE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2" i="1"/>
  <c r="U43" i="1"/>
  <c r="U44" i="1"/>
  <c r="U45" i="1"/>
  <c r="U46" i="1"/>
  <c r="U47" i="1"/>
  <c r="U48" i="1"/>
  <c r="U49" i="1"/>
  <c r="U50" i="1"/>
  <c r="U51" i="1"/>
  <c r="U52" i="1"/>
  <c r="U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2" i="1"/>
  <c r="T43" i="1"/>
  <c r="T44" i="1"/>
  <c r="T45" i="1"/>
  <c r="T46" i="1"/>
  <c r="T47" i="1"/>
  <c r="T48" i="1"/>
  <c r="T49" i="1"/>
  <c r="T50" i="1"/>
  <c r="T51" i="1"/>
  <c r="T52" i="1"/>
  <c r="T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2" i="1"/>
  <c r="R43" i="1"/>
  <c r="R44" i="1"/>
  <c r="R45" i="1"/>
  <c r="R46" i="1"/>
  <c r="R47" i="1"/>
  <c r="R48" i="1"/>
  <c r="R49" i="1"/>
  <c r="R50" i="1"/>
  <c r="R51" i="1"/>
  <c r="R52" i="1"/>
  <c r="R7" i="1"/>
  <c r="S35" i="1"/>
  <c r="S36" i="1"/>
  <c r="S37" i="1"/>
  <c r="S38" i="1"/>
  <c r="S39" i="1"/>
  <c r="S40" i="1"/>
  <c r="S42" i="1"/>
  <c r="S43" i="1"/>
  <c r="S44" i="1"/>
  <c r="S45" i="1"/>
  <c r="S46" i="1"/>
  <c r="S47" i="1"/>
  <c r="S48" i="1"/>
  <c r="S49" i="1"/>
  <c r="S50" i="1"/>
  <c r="S51" i="1"/>
  <c r="S52" i="1"/>
  <c r="S26" i="1"/>
  <c r="S27" i="1"/>
  <c r="S28" i="1"/>
  <c r="S29" i="1"/>
  <c r="S30" i="1"/>
  <c r="S31" i="1"/>
  <c r="S32" i="1"/>
  <c r="S33" i="1"/>
  <c r="S34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7" i="1"/>
  <c r="S8" i="1"/>
  <c r="S9" i="1"/>
  <c r="S10" i="1"/>
  <c r="S11" i="1"/>
  <c r="S12" i="1"/>
  <c r="Q43" i="1" l="1"/>
  <c r="Q45" i="1"/>
  <c r="Q46" i="1"/>
  <c r="Q47" i="1"/>
  <c r="Q48" i="1"/>
  <c r="Q49" i="1"/>
  <c r="Q50" i="1"/>
  <c r="Q51" i="1"/>
  <c r="Q52" i="1"/>
  <c r="O9" i="1"/>
  <c r="O13" i="1"/>
  <c r="O14" i="1"/>
  <c r="O28" i="1"/>
  <c r="O30" i="1"/>
  <c r="O32" i="1"/>
  <c r="O34" i="1"/>
  <c r="O35" i="1"/>
  <c r="O46" i="1"/>
  <c r="O8" i="1"/>
  <c r="AD44" i="1"/>
  <c r="Q44" i="1" s="1"/>
  <c r="AD42" i="1"/>
  <c r="Q42" i="1" s="1"/>
  <c r="AD22" i="1"/>
  <c r="Q22" i="1" s="1"/>
  <c r="AD23" i="1"/>
  <c r="Q23" i="1" s="1"/>
  <c r="AD24" i="1"/>
  <c r="Q24" i="1" s="1"/>
  <c r="AD25" i="1"/>
  <c r="Q25" i="1" s="1"/>
  <c r="AD26" i="1"/>
  <c r="Q26" i="1" s="1"/>
  <c r="AD27" i="1"/>
  <c r="Q27" i="1" s="1"/>
  <c r="AD12" i="1"/>
  <c r="Q12" i="1" s="1"/>
  <c r="O7" i="1"/>
  <c r="AF9" i="1"/>
  <c r="L9" i="1" l="1"/>
  <c r="Q5" i="1"/>
  <c r="R5" i="1"/>
  <c r="C26" i="5"/>
  <c r="B26" i="5"/>
  <c r="J11" i="5"/>
  <c r="C17" i="5" s="1"/>
  <c r="B21" i="5"/>
  <c r="C21" i="5"/>
  <c r="B17" i="5"/>
  <c r="D15" i="5"/>
  <c r="S5" i="1" s="1"/>
  <c r="AD28" i="1" l="1"/>
  <c r="Q28" i="1" s="1"/>
  <c r="AD32" i="1"/>
  <c r="Q32" i="1" s="1"/>
  <c r="AD36" i="1"/>
  <c r="Q36" i="1" s="1"/>
  <c r="AD40" i="1"/>
  <c r="Q40" i="1" s="1"/>
  <c r="AD9" i="1"/>
  <c r="Q9" i="1" s="1"/>
  <c r="AD13" i="1"/>
  <c r="Q13" i="1" s="1"/>
  <c r="AD17" i="1"/>
  <c r="Q17" i="1" s="1"/>
  <c r="AD21" i="1"/>
  <c r="Q21" i="1" s="1"/>
  <c r="AD30" i="1"/>
  <c r="Q30" i="1" s="1"/>
  <c r="AD34" i="1"/>
  <c r="Q34" i="1" s="1"/>
  <c r="AD38" i="1"/>
  <c r="Q38" i="1" s="1"/>
  <c r="AD11" i="1"/>
  <c r="Q11" i="1" s="1"/>
  <c r="AD19" i="1"/>
  <c r="Q19" i="1" s="1"/>
  <c r="AD31" i="1"/>
  <c r="Q31" i="1" s="1"/>
  <c r="AD35" i="1"/>
  <c r="Q35" i="1" s="1"/>
  <c r="AD39" i="1"/>
  <c r="Q39" i="1" s="1"/>
  <c r="AD8" i="1"/>
  <c r="Q8" i="1" s="1"/>
  <c r="N8" i="1" s="1"/>
  <c r="P8" i="1" s="1"/>
  <c r="AD29" i="1"/>
  <c r="Q29" i="1" s="1"/>
  <c r="AD33" i="1"/>
  <c r="Q33" i="1" s="1"/>
  <c r="AD37" i="1"/>
  <c r="Q37" i="1" s="1"/>
  <c r="AD10" i="1"/>
  <c r="Q10" i="1" s="1"/>
  <c r="AD14" i="1"/>
  <c r="Q14" i="1" s="1"/>
  <c r="AD18" i="1"/>
  <c r="Q18" i="1" s="1"/>
  <c r="AD7" i="1"/>
  <c r="Q7" i="1" s="1"/>
  <c r="AD15" i="1"/>
  <c r="Q15" i="1" s="1"/>
  <c r="AD16" i="1"/>
  <c r="Q16" i="1" s="1"/>
  <c r="AD20" i="1"/>
  <c r="Q20" i="1" s="1"/>
  <c r="C23" i="5"/>
  <c r="G17" i="5"/>
  <c r="L47" i="1"/>
  <c r="AF13" i="1"/>
  <c r="AF14" i="1"/>
  <c r="AF28" i="1"/>
  <c r="AF30" i="1"/>
  <c r="AF32" i="1"/>
  <c r="AF34" i="1"/>
  <c r="AF35" i="1"/>
  <c r="AF46" i="1"/>
  <c r="AF7" i="1"/>
  <c r="L7" i="1"/>
  <c r="L8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8" i="1"/>
  <c r="M39" i="1"/>
  <c r="M40" i="1"/>
  <c r="M41" i="1"/>
  <c r="M37" i="1"/>
  <c r="AB34" i="1"/>
  <c r="L42" i="1"/>
  <c r="M42" i="1"/>
  <c r="M43" i="1"/>
  <c r="M44" i="1"/>
  <c r="M45" i="1"/>
  <c r="M46" i="1"/>
  <c r="M47" i="1"/>
  <c r="M48" i="1"/>
  <c r="M49" i="1"/>
  <c r="M50" i="1"/>
  <c r="M51" i="1"/>
  <c r="M52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3" i="1"/>
  <c r="L44" i="1"/>
  <c r="L45" i="1"/>
  <c r="L46" i="1"/>
  <c r="L48" i="1"/>
  <c r="L50" i="1"/>
  <c r="L51" i="1"/>
  <c r="L52" i="1"/>
  <c r="D21" i="5"/>
  <c r="D23" i="5" l="1"/>
  <c r="AH8" i="1" l="1"/>
  <c r="AH10" i="1"/>
  <c r="AB40" i="1" l="1"/>
  <c r="AB20" i="1" l="1"/>
  <c r="AB15" i="1"/>
  <c r="AB37" i="1" l="1"/>
  <c r="AB31" i="1" l="1"/>
  <c r="AA10" i="1" l="1"/>
  <c r="AA8" i="1"/>
  <c r="AA19" i="1" l="1"/>
  <c r="B8" i="7" l="1"/>
  <c r="B23" i="7" l="1"/>
  <c r="B24" i="7"/>
  <c r="B25" i="7"/>
  <c r="C8" i="7" l="1"/>
  <c r="D8" i="7" s="1"/>
  <c r="K42" i="7"/>
  <c r="L42" i="7"/>
  <c r="M42" i="7"/>
  <c r="N42" i="7"/>
  <c r="J42" i="7"/>
  <c r="F49" i="7"/>
  <c r="E49" i="7"/>
  <c r="D49" i="7"/>
  <c r="C49" i="7"/>
  <c r="B49" i="7"/>
  <c r="C24" i="7"/>
  <c r="D24" i="7"/>
  <c r="E24" i="7"/>
  <c r="F24" i="7"/>
  <c r="C25" i="7"/>
  <c r="D25" i="7"/>
  <c r="E25" i="7"/>
  <c r="F25" i="7"/>
  <c r="C23" i="7"/>
  <c r="D23" i="7"/>
  <c r="E23" i="7"/>
  <c r="F23" i="7"/>
  <c r="K36" i="7"/>
  <c r="L36" i="7"/>
  <c r="M36" i="7"/>
  <c r="N36" i="7"/>
  <c r="J36" i="7"/>
  <c r="E18" i="7"/>
  <c r="D18" i="7"/>
  <c r="F53" i="7"/>
  <c r="F48" i="7"/>
  <c r="N40" i="7"/>
  <c r="M40" i="7"/>
  <c r="L40" i="7"/>
  <c r="F40" i="7"/>
  <c r="E40" i="7"/>
  <c r="D40" i="7"/>
  <c r="N34" i="7"/>
  <c r="M34" i="7"/>
  <c r="L34" i="7"/>
  <c r="F34" i="7"/>
  <c r="E34" i="7"/>
  <c r="D34" i="7"/>
  <c r="F28" i="7"/>
  <c r="E28" i="7"/>
  <c r="D28" i="7"/>
  <c r="C28" i="5"/>
  <c r="D28" i="5"/>
  <c r="E28" i="5"/>
  <c r="F28" i="5"/>
  <c r="B28" i="5"/>
  <c r="E41" i="5"/>
  <c r="V53" i="1"/>
  <c r="W53" i="1"/>
  <c r="B18" i="7" s="1"/>
  <c r="B19" i="7" s="1"/>
  <c r="X53" i="1"/>
  <c r="M53" i="1" l="1"/>
  <c r="D12" i="7" s="1"/>
  <c r="O53" i="1"/>
  <c r="G5" i="2"/>
  <c r="G4" i="2"/>
  <c r="G3" i="2"/>
  <c r="Q53" i="1" l="1"/>
  <c r="B30" i="7" s="1"/>
  <c r="B42" i="7" s="1"/>
  <c r="B43" i="7" s="1"/>
  <c r="D58" i="7"/>
  <c r="F12" i="7"/>
  <c r="F26" i="5"/>
  <c r="E26" i="5"/>
  <c r="D26" i="5"/>
  <c r="E23" i="5"/>
  <c r="F23" i="5"/>
  <c r="N21" i="5"/>
  <c r="N26" i="5" s="1"/>
  <c r="M21" i="5"/>
  <c r="M26" i="5" s="1"/>
  <c r="L21" i="5"/>
  <c r="L26" i="5" s="1"/>
  <c r="F21" i="5"/>
  <c r="E21" i="5"/>
  <c r="F15" i="5"/>
  <c r="U5" i="1" s="1"/>
  <c r="E15" i="5"/>
  <c r="T5" i="1" s="1"/>
  <c r="F33" i="5"/>
  <c r="F37" i="5" s="1"/>
  <c r="F54" i="7" s="1"/>
  <c r="L53" i="1"/>
  <c r="B12" i="7" s="1"/>
  <c r="C12" i="7" s="1"/>
  <c r="Y20" i="1" l="1"/>
  <c r="Y52" i="1"/>
  <c r="Y51" i="1"/>
  <c r="Y11" i="1"/>
  <c r="N21" i="1"/>
  <c r="P21" i="1" s="1"/>
  <c r="Y23" i="1"/>
  <c r="Y36" i="1"/>
  <c r="Y19" i="1"/>
  <c r="N38" i="1"/>
  <c r="P38" i="1" s="1"/>
  <c r="Y42" i="1"/>
  <c r="N26" i="1"/>
  <c r="P26" i="1" s="1"/>
  <c r="Y43" i="1"/>
  <c r="Y41" i="1"/>
  <c r="N47" i="1"/>
  <c r="P47" i="1" s="1"/>
  <c r="N37" i="1"/>
  <c r="P37" i="1" s="1"/>
  <c r="N17" i="1"/>
  <c r="P17" i="1" s="1"/>
  <c r="N46" i="1"/>
  <c r="P46" i="1" s="1"/>
  <c r="Y14" i="1"/>
  <c r="B36" i="7"/>
  <c r="B37" i="7" s="1"/>
  <c r="N14" i="1"/>
  <c r="P14" i="1" s="1"/>
  <c r="B31" i="7"/>
  <c r="N7" i="1"/>
  <c r="P7" i="1" s="1"/>
  <c r="H17" i="5"/>
  <c r="C37" i="5"/>
  <c r="D59" i="7"/>
  <c r="E58" i="7"/>
  <c r="E59" i="7" s="1"/>
  <c r="N45" i="1"/>
  <c r="P45" i="1" s="1"/>
  <c r="Y45" i="1"/>
  <c r="N18" i="1"/>
  <c r="P18" i="1" s="1"/>
  <c r="Y18" i="1"/>
  <c r="N15" i="1"/>
  <c r="P15" i="1" s="1"/>
  <c r="S53" i="1"/>
  <c r="D30" i="7" s="1"/>
  <c r="N39" i="1"/>
  <c r="P39" i="1" s="1"/>
  <c r="Y39" i="1"/>
  <c r="Y8" i="1"/>
  <c r="Y24" i="1"/>
  <c r="N24" i="1"/>
  <c r="P24" i="1" s="1"/>
  <c r="N49" i="1"/>
  <c r="P49" i="1" s="1"/>
  <c r="Y49" i="1"/>
  <c r="Y29" i="1"/>
  <c r="N29" i="1"/>
  <c r="P29" i="1" s="1"/>
  <c r="R53" i="1"/>
  <c r="C30" i="7" s="1"/>
  <c r="Y12" i="1"/>
  <c r="N12" i="1"/>
  <c r="P12" i="1" s="1"/>
  <c r="N22" i="1"/>
  <c r="P22" i="1" s="1"/>
  <c r="Y22" i="1"/>
  <c r="Y46" i="1"/>
  <c r="Y40" i="1"/>
  <c r="N40" i="1"/>
  <c r="P40" i="1" s="1"/>
  <c r="Y10" i="1"/>
  <c r="N16" i="1"/>
  <c r="P16" i="1" s="1"/>
  <c r="Y16" i="1"/>
  <c r="D37" i="5"/>
  <c r="G28" i="5"/>
  <c r="H28" i="5" s="1"/>
  <c r="G23" i="5"/>
  <c r="B41" i="5" s="1"/>
  <c r="E37" i="5"/>
  <c r="Y30" i="1" l="1"/>
  <c r="N25" i="1"/>
  <c r="P25" i="1" s="1"/>
  <c r="Y48" i="1"/>
  <c r="Y15" i="1"/>
  <c r="N27" i="1"/>
  <c r="P27" i="1" s="1"/>
  <c r="N42" i="1"/>
  <c r="P42" i="1" s="1"/>
  <c r="N36" i="1"/>
  <c r="P36" i="1" s="1"/>
  <c r="Y47" i="1"/>
  <c r="N9" i="1"/>
  <c r="P9" i="1" s="1"/>
  <c r="N30" i="1"/>
  <c r="P30" i="1" s="1"/>
  <c r="N32" i="1"/>
  <c r="P32" i="1" s="1"/>
  <c r="Y34" i="1"/>
  <c r="Y9" i="1"/>
  <c r="Y35" i="1"/>
  <c r="N28" i="1"/>
  <c r="P28" i="1" s="1"/>
  <c r="N35" i="1"/>
  <c r="P35" i="1" s="1"/>
  <c r="N34" i="1"/>
  <c r="P34" i="1" s="1"/>
  <c r="N48" i="1"/>
  <c r="P48" i="1" s="1"/>
  <c r="Y32" i="1"/>
  <c r="Y26" i="1"/>
  <c r="N41" i="1"/>
  <c r="P41" i="1" s="1"/>
  <c r="N19" i="1"/>
  <c r="P19" i="1" s="1"/>
  <c r="Y17" i="1"/>
  <c r="Y25" i="1"/>
  <c r="N44" i="1"/>
  <c r="P44" i="1" s="1"/>
  <c r="N13" i="1"/>
  <c r="P13" i="1" s="1"/>
  <c r="U53" i="1"/>
  <c r="F30" i="7" s="1"/>
  <c r="F31" i="7" s="1"/>
  <c r="T53" i="1"/>
  <c r="E30" i="7" s="1"/>
  <c r="E31" i="7" s="1"/>
  <c r="N50" i="1"/>
  <c r="P50" i="1" s="1"/>
  <c r="N33" i="1"/>
  <c r="P33" i="1" s="1"/>
  <c r="Y31" i="1"/>
  <c r="N20" i="1"/>
  <c r="P20" i="1" s="1"/>
  <c r="N51" i="1"/>
  <c r="P51" i="1" s="1"/>
  <c r="N10" i="1"/>
  <c r="P10" i="1" s="1"/>
  <c r="Y38" i="1"/>
  <c r="N43" i="1"/>
  <c r="P43" i="1" s="1"/>
  <c r="Y50" i="1"/>
  <c r="N31" i="1"/>
  <c r="P31" i="1" s="1"/>
  <c r="N11" i="1"/>
  <c r="P11" i="1" s="1"/>
  <c r="Y37" i="1"/>
  <c r="Y44" i="1"/>
  <c r="Y7" i="1"/>
  <c r="Y13" i="1"/>
  <c r="Y27" i="1"/>
  <c r="Y21" i="1"/>
  <c r="Y28" i="1"/>
  <c r="Y33" i="1"/>
  <c r="N23" i="1"/>
  <c r="P23" i="1" s="1"/>
  <c r="N52" i="1"/>
  <c r="P52" i="1" s="1"/>
  <c r="H23" i="5"/>
  <c r="C41" i="5" s="1"/>
  <c r="D36" i="7"/>
  <c r="D37" i="7" s="1"/>
  <c r="D31" i="7"/>
  <c r="D42" i="7"/>
  <c r="D43" i="7" s="1"/>
  <c r="C31" i="7"/>
  <c r="C42" i="7"/>
  <c r="C43" i="7" s="1"/>
  <c r="C36" i="7"/>
  <c r="Y53" i="1" l="1"/>
  <c r="F36" i="7"/>
  <c r="F37" i="7" s="1"/>
  <c r="F42" i="7"/>
  <c r="F43" i="7" s="1"/>
  <c r="E42" i="7"/>
  <c r="E43" i="7" s="1"/>
  <c r="G30" i="7"/>
  <c r="C53" i="7" s="1"/>
  <c r="C54" i="7" s="1"/>
  <c r="E36" i="7"/>
  <c r="E37" i="7" s="1"/>
  <c r="N53" i="1"/>
  <c r="E12" i="7" s="1"/>
  <c r="G12" i="7" s="1"/>
  <c r="C37" i="7"/>
  <c r="G36" i="7" l="1"/>
  <c r="B58" i="7" s="1"/>
  <c r="B59" i="7" s="1"/>
  <c r="G42" i="7"/>
  <c r="G43" i="7" s="1"/>
  <c r="G31" i="7"/>
  <c r="B53" i="7"/>
  <c r="B54" i="7" s="1"/>
  <c r="E53" i="7"/>
  <c r="E54" i="7" s="1"/>
  <c r="D53" i="7"/>
  <c r="D54" i="7" s="1"/>
  <c r="H30" i="7"/>
  <c r="H31" i="7" s="1"/>
  <c r="G37" i="7" l="1"/>
  <c r="H36" i="7"/>
  <c r="H37" i="7" s="1"/>
  <c r="H42" i="7"/>
  <c r="H43" i="7" s="1"/>
  <c r="C58" i="7" l="1"/>
  <c r="C59" i="7" s="1"/>
</calcChain>
</file>

<file path=xl/comments1.xml><?xml version="1.0" encoding="utf-8"?>
<comments xmlns="http://schemas.openxmlformats.org/spreadsheetml/2006/main">
  <authors>
    <author>MELAY Blandine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MELAY Blandine:</t>
        </r>
        <r>
          <rPr>
            <sz val="9"/>
            <color indexed="81"/>
            <rFont val="Tahoma"/>
            <family val="2"/>
          </rPr>
          <t xml:space="preserve">
Issue du réseau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MELAY Blandine:</t>
        </r>
        <r>
          <rPr>
            <sz val="9"/>
            <color indexed="81"/>
            <rFont val="Tahoma"/>
            <family val="2"/>
          </rPr>
          <t xml:space="preserve">
Issu du réseau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MELAY Blandine:</t>
        </r>
        <r>
          <rPr>
            <sz val="9"/>
            <color indexed="81"/>
            <rFont val="Tahoma"/>
            <family val="2"/>
          </rPr>
          <t xml:space="preserve">
Saisir le nom du vecteur énergétique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MELAY Blandine:</t>
        </r>
        <r>
          <rPr>
            <sz val="9"/>
            <color indexed="81"/>
            <rFont val="Tahoma"/>
            <family val="2"/>
          </rPr>
          <t xml:space="preserve">
Saisir le nom du vecteur énergétique</t>
        </r>
      </text>
    </comment>
  </commentList>
</comments>
</file>

<file path=xl/comments2.xml><?xml version="1.0" encoding="utf-8"?>
<comments xmlns="http://schemas.openxmlformats.org/spreadsheetml/2006/main">
  <authors>
    <author>DEBAY Jean-Etienne</author>
  </authors>
  <commentList>
    <comment ref="H7" authorId="0" shapeId="0">
      <text>
        <r>
          <rPr>
            <b/>
            <sz val="9"/>
            <color indexed="81"/>
            <rFont val="Tahoma"/>
            <family val="2"/>
          </rPr>
          <t>DEBAY Jean-Etienne:</t>
        </r>
        <r>
          <rPr>
            <sz val="9"/>
            <color indexed="81"/>
            <rFont val="Tahoma"/>
            <family val="2"/>
          </rPr>
          <t xml:space="preserve">
Remplir impérativement la colonne H</t>
        </r>
      </text>
    </comment>
    <comment ref="A16" authorId="0" shapeId="0">
      <text>
        <r>
          <rPr>
            <b/>
            <sz val="9"/>
            <color indexed="81"/>
            <rFont val="Tahoma"/>
            <charset val="1"/>
          </rPr>
          <t>DEBAY Jean-Etienne:</t>
        </r>
        <r>
          <rPr>
            <sz val="9"/>
            <color indexed="81"/>
            <rFont val="Tahoma"/>
            <charset val="1"/>
          </rPr>
          <t xml:space="preserve">
A compléter avec retour d'expérience</t>
        </r>
      </text>
    </comment>
    <comment ref="A17" authorId="0" shapeId="0">
      <text>
        <r>
          <rPr>
            <b/>
            <sz val="9"/>
            <color indexed="81"/>
            <rFont val="Tahoma"/>
            <charset val="1"/>
          </rPr>
          <t>DEBAY Jean-Etienne:</t>
        </r>
        <r>
          <rPr>
            <sz val="9"/>
            <color indexed="81"/>
            <rFont val="Tahoma"/>
            <charset val="1"/>
          </rPr>
          <t xml:space="preserve">
A compléter avec retour d'expérience</t>
        </r>
      </text>
    </comment>
    <comment ref="A21" authorId="0" shapeId="0">
      <text>
        <r>
          <rPr>
            <b/>
            <sz val="9"/>
            <color indexed="81"/>
            <rFont val="Tahoma"/>
            <charset val="1"/>
          </rPr>
          <t>DEBAY Jean-Etienne:</t>
        </r>
        <r>
          <rPr>
            <sz val="9"/>
            <color indexed="81"/>
            <rFont val="Tahoma"/>
            <charset val="1"/>
          </rPr>
          <t xml:space="preserve">
A compléter avec retour d'expérience</t>
        </r>
      </text>
    </comment>
    <comment ref="AD41" authorId="0" shapeId="0">
      <text>
        <r>
          <rPr>
            <b/>
            <sz val="9"/>
            <color indexed="81"/>
            <rFont val="Tahoma"/>
            <charset val="1"/>
          </rPr>
          <t>DEBAY Jean-Etienne:</t>
        </r>
        <r>
          <rPr>
            <sz val="9"/>
            <color indexed="81"/>
            <rFont val="Tahoma"/>
            <charset val="1"/>
          </rPr>
          <t xml:space="preserve">
COP de 3</t>
        </r>
      </text>
    </comment>
  </commentList>
</comments>
</file>

<file path=xl/comments3.xml><?xml version="1.0" encoding="utf-8"?>
<comments xmlns="http://schemas.openxmlformats.org/spreadsheetml/2006/main">
  <authors>
    <author>MELAY Blandine</author>
  </authors>
  <commentList>
    <comment ref="B22" authorId="0" shapeId="0">
      <text>
        <r>
          <rPr>
            <b/>
            <sz val="9"/>
            <color indexed="81"/>
            <rFont val="Tahoma"/>
            <family val="2"/>
          </rPr>
          <t>MELAY Blandine:</t>
        </r>
        <r>
          <rPr>
            <sz val="9"/>
            <color indexed="81"/>
            <rFont val="Tahoma"/>
            <family val="2"/>
          </rPr>
          <t xml:space="preserve">
Issue du réseau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</rPr>
          <t>MELAY Blandine:</t>
        </r>
        <r>
          <rPr>
            <sz val="9"/>
            <color indexed="81"/>
            <rFont val="Tahoma"/>
            <family val="2"/>
          </rPr>
          <t xml:space="preserve">
Issu du réseau</t>
        </r>
      </text>
    </comment>
    <comment ref="D22" authorId="0" shapeId="0">
      <text>
        <r>
          <rPr>
            <b/>
            <sz val="9"/>
            <color indexed="81"/>
            <rFont val="Tahoma"/>
            <family val="2"/>
          </rPr>
          <t>MELAY Blandine:</t>
        </r>
        <r>
          <rPr>
            <sz val="9"/>
            <color indexed="81"/>
            <rFont val="Tahoma"/>
            <family val="2"/>
          </rPr>
          <t xml:space="preserve">
Saisir le nom du vecteur énergétique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</rPr>
          <t>MELAY Blandine:</t>
        </r>
        <r>
          <rPr>
            <sz val="9"/>
            <color indexed="81"/>
            <rFont val="Tahoma"/>
            <family val="2"/>
          </rPr>
          <t xml:space="preserve">
Saisir le nom du vecteur énergétique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MELAY Blandine:</t>
        </r>
        <r>
          <rPr>
            <sz val="9"/>
            <color indexed="81"/>
            <rFont val="Tahoma"/>
            <family val="2"/>
          </rPr>
          <t xml:space="preserve">
Saisir le nom du vecteur énergétique</t>
        </r>
      </text>
    </comment>
  </commentList>
</comments>
</file>

<file path=xl/sharedStrings.xml><?xml version="1.0" encoding="utf-8"?>
<sst xmlns="http://schemas.openxmlformats.org/spreadsheetml/2006/main" count="570" uniqueCount="189">
  <si>
    <t>Certification ISO 50 0001</t>
  </si>
  <si>
    <t>Mix énergétique décarboné</t>
  </si>
  <si>
    <t>Mobilité</t>
  </si>
  <si>
    <t>Optimisation fonctionnelle</t>
  </si>
  <si>
    <t>Energy Manager dédié</t>
  </si>
  <si>
    <t>Mobilité intelligente</t>
  </si>
  <si>
    <t>Animateur énergie</t>
  </si>
  <si>
    <t>Chaudière numérique : réutilisation de la chaleur issue des serveurs pour la production d'ECS</t>
  </si>
  <si>
    <t>Efficience énergétique des process</t>
  </si>
  <si>
    <t>Pilotage et gestion technique</t>
  </si>
  <si>
    <t>Evolution comportementale</t>
  </si>
  <si>
    <t>Ratio</t>
  </si>
  <si>
    <t>Diagnostic</t>
  </si>
  <si>
    <t xml:space="preserve">Fort </t>
  </si>
  <si>
    <t>Modéré</t>
  </si>
  <si>
    <t>Faible</t>
  </si>
  <si>
    <t>Clauses d'efficience dans les procédures d'achat de matériel process</t>
  </si>
  <si>
    <t xml:space="preserve">Data center performant </t>
  </si>
  <si>
    <t>Suivi affiné des taux d'occupation réels</t>
  </si>
  <si>
    <t>Pose de compteurs communiquants / plan de comptage</t>
  </si>
  <si>
    <t>Engagements énergétiques sur les contrats d'exploitation</t>
  </si>
  <si>
    <t>Plan campus numérique</t>
  </si>
  <si>
    <t>Réalisation bilan émissions GES</t>
  </si>
  <si>
    <t>Isolation des façades par l'extérieur en modules préfabriqués</t>
  </si>
  <si>
    <t xml:space="preserve">Rénovation des extractions spécifiques sorbonnes </t>
  </si>
  <si>
    <t>Gestion et optimisation du parc informatique et bureautique</t>
  </si>
  <si>
    <t>Regroupement de sites avec espaces mutualisés</t>
  </si>
  <si>
    <t>Réalisation de workshop étudiants : réflexion et sensibilisation</t>
  </si>
  <si>
    <t>Adaptation au développement du télétravail et enseignement à distance</t>
  </si>
  <si>
    <t>Location / partage d'espaces à des tiers (inscription du campus dans la ville)</t>
  </si>
  <si>
    <t>Commissionnement</t>
  </si>
  <si>
    <t>Participation au concours CUBE2020</t>
  </si>
  <si>
    <t>Géothermie (refroidissement direct, PAC, ou sondes)</t>
  </si>
  <si>
    <t>Microgrid / mutualisation des besoins énergétiques</t>
  </si>
  <si>
    <t>AXE</t>
  </si>
  <si>
    <t>Efficience énergétique du bâtiment</t>
  </si>
  <si>
    <t>ACTION</t>
  </si>
  <si>
    <t>COUT GLOBAL</t>
  </si>
  <si>
    <t>Coût Travaux
[€TTC]</t>
  </si>
  <si>
    <t>Gain Energie
[€TTC/an]</t>
  </si>
  <si>
    <t>Gain EM
[€TTC/an]</t>
  </si>
  <si>
    <t>TRI
[ans]</t>
  </si>
  <si>
    <t>#</t>
  </si>
  <si>
    <t>Coût unitaire
[€TTC/U]</t>
  </si>
  <si>
    <t>DESCRIPTION</t>
  </si>
  <si>
    <t>Surface de façade [m²]</t>
  </si>
  <si>
    <t>Unité
d'œuvre</t>
  </si>
  <si>
    <t>Plan d'actions</t>
  </si>
  <si>
    <t>Quantification</t>
  </si>
  <si>
    <t>Montage</t>
  </si>
  <si>
    <t>GAINS ENERGIE</t>
  </si>
  <si>
    <t>Coût RH
[ETP/U]</t>
  </si>
  <si>
    <t>Quantité
[UO]</t>
  </si>
  <si>
    <t>HYPOTHESES</t>
  </si>
  <si>
    <t>Electricité</t>
  </si>
  <si>
    <t>Gaz</t>
  </si>
  <si>
    <t>EMISSIONS DE GAZ A EFFET DE SERRE</t>
  </si>
  <si>
    <t>CONSOMMATIONS D'ENERGIE</t>
  </si>
  <si>
    <t>PRIX DES ENERGIES</t>
  </si>
  <si>
    <t>MIX ENERGETIQUE</t>
  </si>
  <si>
    <t>FACTEURS D'EMISSION</t>
  </si>
  <si>
    <t>Part EnR
[%]</t>
  </si>
  <si>
    <t>Part fossile
[%]</t>
  </si>
  <si>
    <t>Part fissile
[%]</t>
  </si>
  <si>
    <t>Autoconso.
[kWhef/an]</t>
  </si>
  <si>
    <t>Autoprod.
[kWhef/an]</t>
  </si>
  <si>
    <t>PRODUCTION LOCALE D'ENR</t>
  </si>
  <si>
    <t>TOTAL
[kWhef/an]</t>
  </si>
  <si>
    <t>FACTURE D'ENERGIE</t>
  </si>
  <si>
    <t>Revente
[kWhef/an]</t>
  </si>
  <si>
    <t>ELECTRICITE</t>
  </si>
  <si>
    <t>CHALEUR</t>
  </si>
  <si>
    <t>DESCRIPTION DU PILOTE</t>
  </si>
  <si>
    <t>Surface
[m²SDP]</t>
  </si>
  <si>
    <t>Nombre de bâtiments</t>
  </si>
  <si>
    <t>Ville</t>
  </si>
  <si>
    <t>Nombre d'étudiants</t>
  </si>
  <si>
    <t>Autre 1</t>
  </si>
  <si>
    <t>Autre 2</t>
  </si>
  <si>
    <t>Autre 3</t>
  </si>
  <si>
    <t>[kWhef/an]</t>
  </si>
  <si>
    <t>[€TTC/an]</t>
  </si>
  <si>
    <t>TOTAL</t>
  </si>
  <si>
    <t>ENR</t>
  </si>
  <si>
    <t>FOS</t>
  </si>
  <si>
    <t>FIS</t>
  </si>
  <si>
    <t>[kWhef/m².an]</t>
  </si>
  <si>
    <t>[€TTC/m².an]</t>
  </si>
  <si>
    <t>❶</t>
  </si>
  <si>
    <t>❷</t>
  </si>
  <si>
    <t>Etablir le plan d'actions pour le pilote</t>
  </si>
  <si>
    <t>Décrire l'état initial du pilote</t>
  </si>
  <si>
    <t>CONSIGNES : Compléter les cases et les titres en jaune</t>
  </si>
  <si>
    <t>Gain chaleur
[kWhef/U]</t>
  </si>
  <si>
    <t>Etat d'avancement</t>
  </si>
  <si>
    <t>AUTRES GAINS</t>
  </si>
  <si>
    <t>Mobilité
[km/an]</t>
  </si>
  <si>
    <t>GES
[kgCO2e/an]</t>
  </si>
  <si>
    <t>Surfaces
[m²SDP]</t>
  </si>
  <si>
    <t>[gCO2e/kWh]</t>
  </si>
  <si>
    <t>[€TTC/MWh]</t>
  </si>
  <si>
    <t>Coût RH
[€TTC]</t>
  </si>
  <si>
    <t>Gain EM
[€TTC/U]</t>
  </si>
  <si>
    <t>Confort thermique</t>
  </si>
  <si>
    <t>++</t>
  </si>
  <si>
    <t>+</t>
  </si>
  <si>
    <t>Sans objet</t>
  </si>
  <si>
    <t>Coût RH
[€TTC/ETP.an]</t>
  </si>
  <si>
    <t>-</t>
  </si>
  <si>
    <t>❸</t>
  </si>
  <si>
    <t>Valider l'état final du pilote</t>
  </si>
  <si>
    <t>INDICATEURS ENERGIE</t>
  </si>
  <si>
    <t>INDICATEURS COUT GLOBAL</t>
  </si>
  <si>
    <t>Energie (P1)
[€TTC/an]</t>
  </si>
  <si>
    <t>Energie (P1)
[€TTC/m².an]</t>
  </si>
  <si>
    <t>EM (P2+P3)
[€TTC/an]</t>
  </si>
  <si>
    <t>EM (P2+P3)
[€TTC/m².an]</t>
  </si>
  <si>
    <t>[kgCO2e/an]</t>
  </si>
  <si>
    <t>[kgCO2e/m².an]</t>
  </si>
  <si>
    <t>Lille</t>
  </si>
  <si>
    <t>ETAT FINAL DU PILOTE</t>
  </si>
  <si>
    <t>SYNTHESE DU PLAN D'ACTIONS</t>
  </si>
  <si>
    <t>Coût Travaux
[€TDC]</t>
  </si>
  <si>
    <t>Date début
[€TTC]</t>
  </si>
  <si>
    <t>Date fin
[€TTC]</t>
  </si>
  <si>
    <t>CALENDRIER</t>
  </si>
  <si>
    <t>Durée
[mois]</t>
  </si>
  <si>
    <t>Date début</t>
  </si>
  <si>
    <t>Date fin</t>
  </si>
  <si>
    <t>COUTS ETUDES &amp; COUTS ANNEXES</t>
  </si>
  <si>
    <t>MOD
[%]</t>
  </si>
  <si>
    <t>MOE et CT
[%]</t>
  </si>
  <si>
    <t>Provisions
[%]</t>
  </si>
  <si>
    <t>Assurances
[%]</t>
  </si>
  <si>
    <t>F</t>
  </si>
  <si>
    <t>G</t>
  </si>
  <si>
    <t>Création d'une communauté / plateforme spécifique co-voiturage de l'université, places réservées au covoiturage</t>
  </si>
  <si>
    <t>Proposer l'utilisation gratuite des transports en commune pendant une semaine - sensibilisation (cf. PDA)</t>
  </si>
  <si>
    <t>Installation de régulations centralisées (GTC) et outils de suivi des fluides</t>
  </si>
  <si>
    <t>Diagnostic et réglage des équipements fonctionnant hors occupation - adaptation à l'occupation</t>
  </si>
  <si>
    <t>Renégociation des contrats d'énergie - achats à l'échelle du territoire</t>
  </si>
  <si>
    <t>Isolation de l'enveloppe (toitures - façades - menuiseries)</t>
  </si>
  <si>
    <t>Rénovation de la ventilation ou mise en œuvre d'une ventilation contrôlée</t>
  </si>
  <si>
    <t>Général / Focus</t>
  </si>
  <si>
    <t>Mise en œuvre d'un plan de déplacement</t>
  </si>
  <si>
    <t>Rénovation de la ventilation pour les amphithéatres</t>
  </si>
  <si>
    <t>Remplacement des productions et distributions de chaleur carbonées (y compris pompes, désembouage, calorifuge…)</t>
  </si>
  <si>
    <t>Spécialiste "Technologue"</t>
  </si>
  <si>
    <t>Mutualisation des locaux de recherche</t>
  </si>
  <si>
    <t>Modification des gabarits des espaces d'enseignement</t>
  </si>
  <si>
    <t>Certifications environnementales (HQE, Breeam,  labels E+C-, BBCA…)</t>
  </si>
  <si>
    <t>Mise en œuvre d'un intracting</t>
  </si>
  <si>
    <t>Expérimentation de nudges</t>
  </si>
  <si>
    <t>Panneaux solaires thermiques pour production d'ECS</t>
  </si>
  <si>
    <t>Systèmes passifs (freecooling nocturne, puits canadiens)</t>
  </si>
  <si>
    <t>Fiche CEE</t>
  </si>
  <si>
    <t>Eligibilité</t>
  </si>
  <si>
    <t>oui</t>
  </si>
  <si>
    <t>non</t>
  </si>
  <si>
    <t>Renégociation de contrats d'exploitation-maintenance des équipements - CPE</t>
  </si>
  <si>
    <t>Gain chaleur
[%]</t>
  </si>
  <si>
    <t>Gain EM
[%]</t>
  </si>
  <si>
    <t>débit de ventilation [m3/h]</t>
  </si>
  <si>
    <t>puissance chaud [kW]</t>
  </si>
  <si>
    <t>Surface SUN [m²]</t>
  </si>
  <si>
    <t>nb de points de comptage</t>
  </si>
  <si>
    <t>campagne</t>
  </si>
  <si>
    <t>année</t>
  </si>
  <si>
    <t>surface capteurs [m²]</t>
  </si>
  <si>
    <t>puissance installée [kW]</t>
  </si>
  <si>
    <t>vélo</t>
  </si>
  <si>
    <t>spécifique</t>
  </si>
  <si>
    <t>Installation de panneaux photovoltaïques en autoconsommation</t>
  </si>
  <si>
    <t>Raccordement Réseau de chaleur biomasse ou récupération d'énergie</t>
  </si>
  <si>
    <t>Achats de vélos à assistance électrique pour les déplacements professionnels, parkings pour VAE</t>
  </si>
  <si>
    <t xml:space="preserve">POURCENTAGE ELECTRICITE SPECIFIQUE </t>
  </si>
  <si>
    <t>Electricité spécifique</t>
  </si>
  <si>
    <t>Electricite non spécifique (chauffage, ECS)</t>
  </si>
  <si>
    <t>Electricité consommée</t>
  </si>
  <si>
    <t>[%]</t>
  </si>
  <si>
    <t>Electricité non spécifique</t>
  </si>
  <si>
    <t>Electricitéc spécifique</t>
  </si>
  <si>
    <t>Electricitéc non spécifique</t>
  </si>
  <si>
    <t>Gain élec. spécifique
[%]</t>
  </si>
  <si>
    <t>Gain élec. spécifique
[kWhef/U]</t>
  </si>
  <si>
    <t>ens</t>
  </si>
  <si>
    <t>CONSIGNES : 
1 - Compléter les cases en jaune
2 - Si une action agit sur plusieurs vecteurs énergétiques (hors éléctricité spécifique), dédoubler la ligne concernée et préciser un des deux vecteurs sur chaque ligne</t>
  </si>
  <si>
    <t>Vecteur concerné (hors éléctricité spécifique)</t>
  </si>
  <si>
    <t>Campagnes de communication et de sensibilisation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</si>
</sst>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9" x14ac:knownFonts="1">
    <font>
      <sz val="11"/>
      <color theme="1"/>
      <name val="Calibri"/>
      <family val="2"/>
      <scheme val="minor"/>
    </font>
    <font>
      <b/>
      <sz val="10"/>
      <color theme="0"/>
      <name val="Segoe UI"/>
      <family val="2"/>
    </font>
    <font>
      <sz val="11"/>
      <color theme="1"/>
      <name val="Segoe UI"/>
      <family val="2"/>
    </font>
    <font>
      <b/>
      <sz val="9"/>
      <color theme="0"/>
      <name val="Segoe UI"/>
      <family val="2"/>
    </font>
    <font>
      <sz val="9"/>
      <color theme="1"/>
      <name val="Segoe UI"/>
      <family val="2"/>
    </font>
    <font>
      <sz val="9"/>
      <name val="Segoe U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1"/>
      <name val="Segoe UI"/>
      <family val="2"/>
    </font>
    <font>
      <b/>
      <sz val="9"/>
      <name val="Segoe UI"/>
      <family val="2"/>
    </font>
    <font>
      <b/>
      <sz val="11"/>
      <color theme="1"/>
      <name val="Segoe UI"/>
      <family val="2"/>
    </font>
    <font>
      <b/>
      <sz val="8"/>
      <color theme="1"/>
      <name val="Segoe UI"/>
      <family val="2"/>
    </font>
    <font>
      <b/>
      <sz val="16"/>
      <color theme="1"/>
      <name val="Segoe UI"/>
      <family val="2"/>
    </font>
    <font>
      <i/>
      <sz val="11"/>
      <color theme="1"/>
      <name val="Segoe UI"/>
      <family val="2"/>
    </font>
    <font>
      <sz val="18"/>
      <color rgb="FF1D22AB"/>
      <name val="Segoe UI"/>
      <family val="2"/>
    </font>
    <font>
      <b/>
      <sz val="18"/>
      <color rgb="FF1D22AB"/>
      <name val="Segoe UI"/>
      <family val="2"/>
    </font>
    <font>
      <i/>
      <sz val="11"/>
      <color theme="0" tint="-0.14999847407452621"/>
      <name val="Segoe UI"/>
      <family val="2"/>
    </font>
    <font>
      <i/>
      <sz val="11"/>
      <color theme="0" tint="-0.249977111117893"/>
      <name val="Segoe UI"/>
      <family val="2"/>
    </font>
    <font>
      <sz val="18"/>
      <color rgb="FF1D22AB"/>
      <name val="Calibri"/>
      <family val="2"/>
    </font>
    <font>
      <b/>
      <sz val="9"/>
      <color rgb="FFFFFF99"/>
      <name val="Segoe UI"/>
      <family val="2"/>
    </font>
    <font>
      <sz val="11"/>
      <color theme="1"/>
      <name val="Calibri"/>
      <family val="2"/>
    </font>
    <font>
      <sz val="9"/>
      <color theme="0" tint="-0.499984740745262"/>
      <name val="Segoe UI"/>
      <family val="2"/>
    </font>
    <font>
      <b/>
      <sz val="11"/>
      <color rgb="FF1D22AB"/>
      <name val="Segoe UI"/>
      <family val="2"/>
    </font>
    <font>
      <b/>
      <sz val="9"/>
      <color theme="9"/>
      <name val="Segoe U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9"/>
      <color rgb="FFFF0000"/>
      <name val="Segoe UI"/>
      <family val="2"/>
    </font>
    <font>
      <sz val="9"/>
      <color rgb="FFFF0000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1D22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auto="1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theme="0"/>
      </bottom>
      <diagonal/>
    </border>
    <border>
      <left/>
      <right style="thin">
        <color auto="1"/>
      </right>
      <top style="thin">
        <color auto="1"/>
      </top>
      <bottom style="thin">
        <color theme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auto="1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/>
      <bottom style="thin">
        <color indexed="9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D22AB"/>
      </bottom>
      <diagonal/>
    </border>
    <border>
      <left style="thin">
        <color auto="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178">
    <xf numFmtId="0" fontId="0" fillId="0" borderId="0" xfId="0"/>
    <xf numFmtId="0" fontId="2" fillId="0" borderId="0" xfId="0" applyFont="1"/>
    <xf numFmtId="14" fontId="5" fillId="2" borderId="2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/>
    <xf numFmtId="0" fontId="2" fillId="3" borderId="1" xfId="0" applyFont="1" applyFill="1" applyBorder="1"/>
    <xf numFmtId="3" fontId="2" fillId="0" borderId="1" xfId="0" applyNumberFormat="1" applyFont="1" applyBorder="1"/>
    <xf numFmtId="3" fontId="10" fillId="0" borderId="1" xfId="0" applyNumberFormat="1" applyFont="1" applyBorder="1"/>
    <xf numFmtId="0" fontId="10" fillId="0" borderId="1" xfId="0" applyFont="1" applyFill="1" applyBorder="1"/>
    <xf numFmtId="164" fontId="2" fillId="0" borderId="1" xfId="0" applyNumberFormat="1" applyFont="1" applyBorder="1"/>
    <xf numFmtId="164" fontId="2" fillId="3" borderId="1" xfId="0" applyNumberFormat="1" applyFont="1" applyFill="1" applyBorder="1"/>
    <xf numFmtId="0" fontId="2" fillId="5" borderId="0" xfId="0" applyFont="1" applyFill="1"/>
    <xf numFmtId="0" fontId="4" fillId="5" borderId="0" xfId="0" applyFont="1" applyFill="1"/>
    <xf numFmtId="0" fontId="1" fillId="5" borderId="0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164" fontId="2" fillId="5" borderId="0" xfId="0" applyNumberFormat="1" applyFont="1" applyFill="1" applyBorder="1"/>
    <xf numFmtId="0" fontId="12" fillId="5" borderId="0" xfId="0" applyFont="1" applyFill="1"/>
    <xf numFmtId="0" fontId="13" fillId="5" borderId="0" xfId="0" applyFont="1" applyFill="1"/>
    <xf numFmtId="0" fontId="14" fillId="0" borderId="0" xfId="0" applyFont="1"/>
    <xf numFmtId="0" fontId="15" fillId="5" borderId="0" xfId="0" applyFont="1" applyFill="1"/>
    <xf numFmtId="0" fontId="16" fillId="5" borderId="0" xfId="0" applyFont="1" applyFill="1"/>
    <xf numFmtId="0" fontId="17" fillId="5" borderId="0" xfId="0" applyFont="1" applyFill="1"/>
    <xf numFmtId="0" fontId="3" fillId="4" borderId="7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3" fillId="4" borderId="1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right" vertical="center" textRotation="90"/>
    </xf>
    <xf numFmtId="0" fontId="12" fillId="5" borderId="0" xfId="0" applyFont="1" applyFill="1" applyAlignment="1">
      <alignment wrapText="1"/>
    </xf>
    <xf numFmtId="0" fontId="17" fillId="5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13" fillId="5" borderId="0" xfId="0" applyFont="1" applyFill="1" applyAlignment="1">
      <alignment wrapText="1"/>
    </xf>
    <xf numFmtId="0" fontId="15" fillId="5" borderId="0" xfId="0" applyFont="1" applyFill="1" applyAlignment="1"/>
    <xf numFmtId="0" fontId="19" fillId="4" borderId="8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right"/>
    </xf>
    <xf numFmtId="0" fontId="16" fillId="5" borderId="0" xfId="0" applyFont="1" applyFill="1" applyAlignment="1">
      <alignment wrapText="1"/>
    </xf>
    <xf numFmtId="0" fontId="9" fillId="2" borderId="21" xfId="0" applyNumberFormat="1" applyFont="1" applyFill="1" applyBorder="1" applyAlignment="1">
      <alignment horizontal="center" vertical="center"/>
    </xf>
    <xf numFmtId="0" fontId="5" fillId="2" borderId="2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3" fillId="4" borderId="8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13" fillId="5" borderId="0" xfId="0" applyFont="1" applyFill="1" applyBorder="1"/>
    <xf numFmtId="0" fontId="3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/>
    </xf>
    <xf numFmtId="0" fontId="8" fillId="5" borderId="0" xfId="0" applyFont="1" applyFill="1" applyAlignment="1">
      <alignment horizontal="left" wrapText="1"/>
    </xf>
    <xf numFmtId="0" fontId="4" fillId="5" borderId="0" xfId="0" applyFont="1" applyFill="1" applyAlignment="1">
      <alignment horizontal="left" wrapText="1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left"/>
    </xf>
    <xf numFmtId="0" fontId="3" fillId="4" borderId="23" xfId="0" applyFont="1" applyFill="1" applyBorder="1" applyAlignment="1">
      <alignment horizontal="left" vertical="center" wrapText="1"/>
    </xf>
    <xf numFmtId="0" fontId="1" fillId="4" borderId="2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9" fillId="2" borderId="26" xfId="0" applyNumberFormat="1" applyFont="1" applyFill="1" applyBorder="1" applyAlignment="1">
      <alignment horizontal="center" vertical="center"/>
    </xf>
    <xf numFmtId="0" fontId="5" fillId="2" borderId="27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5" fillId="2" borderId="21" xfId="0" applyNumberFormat="1" applyFont="1" applyFill="1" applyBorder="1" applyAlignment="1">
      <alignment horizontal="center" vertical="center"/>
    </xf>
    <xf numFmtId="2" fontId="5" fillId="2" borderId="27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 wrapText="1"/>
    </xf>
    <xf numFmtId="0" fontId="0" fillId="0" borderId="0" xfId="0" quotePrefix="1"/>
    <xf numFmtId="0" fontId="20" fillId="0" borderId="0" xfId="0" applyFont="1"/>
    <xf numFmtId="0" fontId="3" fillId="4" borderId="31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left" vertical="center" wrapText="1"/>
    </xf>
    <xf numFmtId="0" fontId="1" fillId="4" borderId="32" xfId="0" applyFont="1" applyFill="1" applyBorder="1" applyAlignment="1">
      <alignment horizontal="center" vertical="center"/>
    </xf>
    <xf numFmtId="3" fontId="1" fillId="4" borderId="32" xfId="0" applyNumberFormat="1" applyFont="1" applyFill="1" applyBorder="1" applyAlignment="1">
      <alignment horizontal="center" vertical="center" wrapText="1"/>
    </xf>
    <xf numFmtId="3" fontId="1" fillId="4" borderId="33" xfId="0" applyNumberFormat="1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/>
    <xf numFmtId="9" fontId="21" fillId="5" borderId="0" xfId="0" applyNumberFormat="1" applyFont="1" applyFill="1" applyAlignment="1">
      <alignment horizontal="right"/>
    </xf>
    <xf numFmtId="9" fontId="21" fillId="5" borderId="0" xfId="0" applyNumberFormat="1" applyFont="1" applyFill="1" applyBorder="1" applyAlignment="1">
      <alignment horizontal="right"/>
    </xf>
    <xf numFmtId="3" fontId="2" fillId="5" borderId="1" xfId="0" applyNumberFormat="1" applyFont="1" applyFill="1" applyBorder="1"/>
    <xf numFmtId="0" fontId="2" fillId="5" borderId="1" xfId="0" applyFont="1" applyFill="1" applyBorder="1"/>
    <xf numFmtId="164" fontId="2" fillId="0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0" fontId="3" fillId="4" borderId="37" xfId="0" applyFont="1" applyFill="1" applyBorder="1" applyAlignment="1">
      <alignment horizontal="left" vertical="center" wrapText="1"/>
    </xf>
    <xf numFmtId="0" fontId="10" fillId="0" borderId="0" xfId="0" applyFont="1"/>
    <xf numFmtId="0" fontId="22" fillId="5" borderId="38" xfId="0" applyFont="1" applyFill="1" applyBorder="1"/>
    <xf numFmtId="0" fontId="10" fillId="5" borderId="0" xfId="0" applyFont="1" applyFill="1"/>
    <xf numFmtId="165" fontId="2" fillId="5" borderId="1" xfId="0" applyNumberFormat="1" applyFont="1" applyFill="1" applyBorder="1"/>
    <xf numFmtId="14" fontId="2" fillId="5" borderId="1" xfId="0" applyNumberFormat="1" applyFont="1" applyFill="1" applyBorder="1"/>
    <xf numFmtId="0" fontId="3" fillId="4" borderId="12" xfId="0" applyFont="1" applyFill="1" applyBorder="1" applyAlignment="1">
      <alignment horizontal="center" vertical="center" wrapText="1"/>
    </xf>
    <xf numFmtId="0" fontId="5" fillId="6" borderId="2" xfId="0" applyNumberFormat="1" applyFont="1" applyFill="1" applyBorder="1" applyAlignment="1">
      <alignment horizontal="left" vertical="center" wrapText="1"/>
    </xf>
    <xf numFmtId="0" fontId="23" fillId="2" borderId="21" xfId="0" applyNumberFormat="1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9" fillId="7" borderId="21" xfId="0" applyNumberFormat="1" applyFont="1" applyFill="1" applyBorder="1" applyAlignment="1">
      <alignment horizontal="center" vertical="center"/>
    </xf>
    <xf numFmtId="9" fontId="5" fillId="2" borderId="21" xfId="0" applyNumberFormat="1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0" fontId="5" fillId="2" borderId="22" xfId="0" quotePrefix="1" applyNumberFormat="1" applyFont="1" applyFill="1" applyBorder="1" applyAlignment="1">
      <alignment horizontal="center" vertical="center" wrapText="1"/>
    </xf>
    <xf numFmtId="1" fontId="5" fillId="2" borderId="26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9" fontId="5" fillId="2" borderId="27" xfId="0" applyNumberFormat="1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9" fontId="5" fillId="2" borderId="27" xfId="1" applyFont="1" applyFill="1" applyBorder="1" applyAlignment="1">
      <alignment horizontal="center" vertical="center"/>
    </xf>
    <xf numFmtId="164" fontId="2" fillId="0" borderId="1" xfId="1" applyNumberFormat="1" applyFont="1" applyBorder="1"/>
    <xf numFmtId="0" fontId="5" fillId="5" borderId="0" xfId="0" applyFont="1" applyFill="1"/>
    <xf numFmtId="0" fontId="27" fillId="2" borderId="26" xfId="0" applyNumberFormat="1" applyFont="1" applyFill="1" applyBorder="1" applyAlignment="1">
      <alignment horizontal="center" vertical="center"/>
    </xf>
    <xf numFmtId="0" fontId="27" fillId="2" borderId="2" xfId="0" applyNumberFormat="1" applyFont="1" applyFill="1" applyBorder="1" applyAlignment="1">
      <alignment horizontal="left" vertical="center" wrapText="1"/>
    </xf>
    <xf numFmtId="0" fontId="28" fillId="2" borderId="2" xfId="0" applyNumberFormat="1" applyFont="1" applyFill="1" applyBorder="1" applyAlignment="1">
      <alignment horizontal="left" vertical="center" wrapText="1"/>
    </xf>
    <xf numFmtId="0" fontId="27" fillId="2" borderId="21" xfId="0" applyNumberFormat="1" applyFont="1" applyFill="1" applyBorder="1" applyAlignment="1">
      <alignment horizontal="center" vertical="center"/>
    </xf>
    <xf numFmtId="0" fontId="28" fillId="2" borderId="2" xfId="0" applyNumberFormat="1" applyFont="1" applyFill="1" applyBorder="1" applyAlignment="1">
      <alignment horizontal="center" vertical="center"/>
    </xf>
    <xf numFmtId="0" fontId="28" fillId="2" borderId="22" xfId="0" quotePrefix="1" applyNumberFormat="1" applyFont="1" applyFill="1" applyBorder="1" applyAlignment="1">
      <alignment horizontal="center" vertical="center" wrapText="1"/>
    </xf>
    <xf numFmtId="14" fontId="28" fillId="2" borderId="2" xfId="0" applyNumberFormat="1" applyFont="1" applyFill="1" applyBorder="1" applyAlignment="1">
      <alignment horizontal="center" vertical="center"/>
    </xf>
    <xf numFmtId="3" fontId="28" fillId="2" borderId="2" xfId="0" applyNumberFormat="1" applyFont="1" applyFill="1" applyBorder="1" applyAlignment="1">
      <alignment horizontal="center" vertical="center"/>
    </xf>
    <xf numFmtId="0" fontId="28" fillId="2" borderId="21" xfId="0" applyNumberFormat="1" applyFont="1" applyFill="1" applyBorder="1" applyAlignment="1">
      <alignment horizontal="center" vertical="center"/>
    </xf>
    <xf numFmtId="0" fontId="28" fillId="2" borderId="27" xfId="0" applyNumberFormat="1" applyFont="1" applyFill="1" applyBorder="1" applyAlignment="1">
      <alignment horizontal="center" vertical="center"/>
    </xf>
    <xf numFmtId="0" fontId="28" fillId="5" borderId="0" xfId="0" applyFont="1" applyFill="1"/>
    <xf numFmtId="1" fontId="28" fillId="2" borderId="26" xfId="0" applyNumberFormat="1" applyFont="1" applyFill="1" applyBorder="1" applyAlignment="1">
      <alignment horizontal="center" vertical="center"/>
    </xf>
    <xf numFmtId="2" fontId="28" fillId="2" borderId="2" xfId="0" applyNumberFormat="1" applyFont="1" applyFill="1" applyBorder="1" applyAlignment="1">
      <alignment horizontal="center" vertical="center"/>
    </xf>
    <xf numFmtId="2" fontId="28" fillId="2" borderId="27" xfId="0" applyNumberFormat="1" applyFont="1" applyFill="1" applyBorder="1" applyAlignment="1">
      <alignment horizontal="center" vertical="center"/>
    </xf>
    <xf numFmtId="0" fontId="5" fillId="5" borderId="0" xfId="0" applyFont="1" applyFill="1" applyBorder="1"/>
    <xf numFmtId="1" fontId="5" fillId="2" borderId="2" xfId="0" applyNumberFormat="1" applyFont="1" applyFill="1" applyBorder="1" applyAlignment="1">
      <alignment horizontal="center" vertical="center"/>
    </xf>
    <xf numFmtId="1" fontId="28" fillId="2" borderId="2" xfId="0" applyNumberFormat="1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2" fillId="3" borderId="34" xfId="0" applyFont="1" applyFill="1" applyBorder="1" applyAlignment="1">
      <alignment horizontal="right"/>
    </xf>
    <xf numFmtId="0" fontId="2" fillId="3" borderId="42" xfId="0" applyFont="1" applyFill="1" applyBorder="1" applyAlignment="1">
      <alignment horizontal="right"/>
    </xf>
    <xf numFmtId="0" fontId="3" fillId="4" borderId="45" xfId="0" applyFont="1" applyFill="1" applyBorder="1" applyAlignment="1">
      <alignment horizontal="left" vertical="center" wrapText="1"/>
    </xf>
    <xf numFmtId="0" fontId="3" fillId="4" borderId="46" xfId="0" applyFont="1" applyFill="1" applyBorder="1" applyAlignment="1">
      <alignment horizontal="left" vertical="center" wrapText="1"/>
    </xf>
    <xf numFmtId="0" fontId="3" fillId="4" borderId="39" xfId="0" applyFont="1" applyFill="1" applyBorder="1" applyAlignment="1">
      <alignment horizontal="left" vertical="center" wrapText="1"/>
    </xf>
    <xf numFmtId="0" fontId="3" fillId="4" borderId="19" xfId="0" applyFont="1" applyFill="1" applyBorder="1" applyAlignment="1">
      <alignment horizontal="left" vertical="center" wrapText="1"/>
    </xf>
    <xf numFmtId="0" fontId="1" fillId="4" borderId="39" xfId="0" applyFont="1" applyFill="1" applyBorder="1" applyAlignment="1">
      <alignment horizontal="left" vertical="center"/>
    </xf>
    <xf numFmtId="0" fontId="1" fillId="4" borderId="40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42" xfId="0" applyNumberFormat="1" applyFont="1" applyFill="1" applyBorder="1" applyAlignment="1">
      <alignment horizontal="center" vertical="center"/>
    </xf>
    <xf numFmtId="164" fontId="2" fillId="0" borderId="43" xfId="0" applyNumberFormat="1" applyFont="1" applyFill="1" applyBorder="1" applyAlignment="1">
      <alignment horizontal="center" vertical="center"/>
    </xf>
    <xf numFmtId="164" fontId="2" fillId="0" borderId="44" xfId="0" applyNumberFormat="1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left" vertical="center" wrapText="1"/>
    </xf>
    <xf numFmtId="0" fontId="2" fillId="0" borderId="34" xfId="0" applyFont="1" applyBorder="1" applyAlignment="1">
      <alignment horizontal="right"/>
    </xf>
    <xf numFmtId="0" fontId="2" fillId="0" borderId="42" xfId="0" applyFont="1" applyBorder="1" applyAlignment="1">
      <alignment horizontal="right"/>
    </xf>
    <xf numFmtId="0" fontId="3" fillId="4" borderId="1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7" fillId="5" borderId="0" xfId="0" applyFont="1" applyFill="1" applyAlignment="1">
      <alignment horizontal="left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1" fillId="4" borderId="20" xfId="0" applyFont="1" applyFill="1" applyBorder="1" applyAlignment="1">
      <alignment horizontal="left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28" xfId="0" applyFont="1" applyFill="1" applyBorder="1" applyAlignment="1">
      <alignment horizontal="left" vertical="center" wrapText="1"/>
    </xf>
    <xf numFmtId="0" fontId="1" fillId="4" borderId="29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left" vertical="center" wrapText="1"/>
    </xf>
    <xf numFmtId="0" fontId="1" fillId="4" borderId="24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26"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9C9EEE"/>
      <color rgb="FF5154E1"/>
      <color rgb="FF1D22AB"/>
      <color rgb="FFFFFF99"/>
      <color rgb="FFBEBFF4"/>
      <color rgb="FFEFF6FB"/>
      <color rgb="FFD7E7F5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313765</xdr:colOff>
      <xdr:row>22</xdr:row>
      <xdr:rowOff>105187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71765" cy="42961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tabColor rgb="FF1D22AB"/>
    <pageSetUpPr fitToPage="1"/>
  </sheetPr>
  <dimension ref="A1:N42"/>
  <sheetViews>
    <sheetView topLeftCell="A7" workbookViewId="0">
      <selection activeCell="K13" sqref="K13"/>
    </sheetView>
  </sheetViews>
  <sheetFormatPr baseColWidth="10" defaultRowHeight="16.5" x14ac:dyDescent="0.3"/>
  <cols>
    <col min="1" max="1" width="6.140625" style="12" bestFit="1" customWidth="1"/>
    <col min="2" max="8" width="12.7109375" style="12" customWidth="1"/>
    <col min="9" max="9" width="28.85546875" style="12" customWidth="1"/>
    <col min="10" max="10" width="21.5703125" style="12" bestFit="1" customWidth="1"/>
    <col min="11" max="11" width="11.85546875" style="12" bestFit="1" customWidth="1"/>
    <col min="12" max="14" width="12.7109375" style="12" customWidth="1"/>
    <col min="15" max="15" width="11.42578125" style="12"/>
    <col min="16" max="16" width="2.7109375" style="12" customWidth="1"/>
    <col min="17" max="16384" width="11.42578125" style="12"/>
  </cols>
  <sheetData>
    <row r="1" spans="1:10" s="17" customFormat="1" ht="27" x14ac:dyDescent="0.5">
      <c r="A1" s="19" t="s">
        <v>88</v>
      </c>
      <c r="B1" s="20" t="s">
        <v>91</v>
      </c>
    </row>
    <row r="2" spans="1:10" x14ac:dyDescent="0.3">
      <c r="B2" s="22" t="s">
        <v>92</v>
      </c>
    </row>
    <row r="3" spans="1:10" s="18" customFormat="1" x14ac:dyDescent="0.3">
      <c r="B3" s="22"/>
      <c r="C3" s="21"/>
      <c r="D3" s="21"/>
      <c r="E3" s="21"/>
    </row>
    <row r="4" spans="1:10" ht="16.5" customHeight="1" x14ac:dyDescent="0.3">
      <c r="B4" s="136" t="s">
        <v>72</v>
      </c>
      <c r="C4" s="137"/>
      <c r="D4" s="137"/>
      <c r="E4" s="25"/>
    </row>
    <row r="5" spans="1:10" ht="24.95" customHeight="1" x14ac:dyDescent="0.3">
      <c r="B5" s="23" t="s">
        <v>73</v>
      </c>
      <c r="C5" s="51" t="s">
        <v>74</v>
      </c>
      <c r="D5" s="51" t="s">
        <v>76</v>
      </c>
      <c r="E5" s="62" t="s">
        <v>75</v>
      </c>
    </row>
    <row r="6" spans="1:10" x14ac:dyDescent="0.3">
      <c r="B6" s="85">
        <v>1000</v>
      </c>
      <c r="C6" s="6"/>
      <c r="D6" s="6"/>
      <c r="E6" s="6" t="s">
        <v>119</v>
      </c>
    </row>
    <row r="8" spans="1:10" ht="16.5" customHeight="1" x14ac:dyDescent="0.3">
      <c r="B8" s="136" t="s">
        <v>59</v>
      </c>
      <c r="C8" s="137"/>
      <c r="D8" s="137"/>
      <c r="E8" s="137"/>
      <c r="F8" s="138"/>
      <c r="H8" s="145" t="s">
        <v>175</v>
      </c>
      <c r="I8" s="146"/>
      <c r="J8" s="146"/>
    </row>
    <row r="9" spans="1:10" ht="24.95" customHeight="1" x14ac:dyDescent="0.3">
      <c r="B9" s="147" t="s">
        <v>54</v>
      </c>
      <c r="C9" s="148"/>
      <c r="D9" s="113" t="s">
        <v>55</v>
      </c>
      <c r="E9" s="41" t="s">
        <v>77</v>
      </c>
      <c r="F9" s="42" t="s">
        <v>78</v>
      </c>
      <c r="H9" s="115" t="s">
        <v>178</v>
      </c>
      <c r="I9" s="115" t="s">
        <v>176</v>
      </c>
      <c r="J9" s="115" t="s">
        <v>177</v>
      </c>
    </row>
    <row r="10" spans="1:10" ht="21.75" x14ac:dyDescent="0.3">
      <c r="A10" s="35" t="s">
        <v>83</v>
      </c>
      <c r="B10" s="149">
        <v>0.19900000000000001</v>
      </c>
      <c r="C10" s="150"/>
      <c r="D10" s="90">
        <v>0</v>
      </c>
      <c r="E10" s="91"/>
      <c r="F10" s="91"/>
      <c r="H10" s="24" t="s">
        <v>80</v>
      </c>
      <c r="I10" s="24" t="s">
        <v>179</v>
      </c>
      <c r="J10" s="24" t="s">
        <v>179</v>
      </c>
    </row>
    <row r="11" spans="1:10" ht="21.75" customHeight="1" x14ac:dyDescent="0.3">
      <c r="A11" s="35" t="s">
        <v>84</v>
      </c>
      <c r="B11" s="151">
        <v>0.113</v>
      </c>
      <c r="C11" s="152"/>
      <c r="D11" s="90">
        <v>1</v>
      </c>
      <c r="E11" s="91"/>
      <c r="F11" s="91"/>
      <c r="H11" s="6"/>
      <c r="I11" s="91"/>
      <c r="J11" s="90">
        <f>1-I11</f>
        <v>1</v>
      </c>
    </row>
    <row r="12" spans="1:10" ht="21.75" customHeight="1" x14ac:dyDescent="0.3">
      <c r="A12" s="35" t="s">
        <v>85</v>
      </c>
      <c r="B12" s="151">
        <v>0.68799999999999994</v>
      </c>
      <c r="C12" s="152"/>
      <c r="D12" s="90">
        <v>0</v>
      </c>
      <c r="E12" s="91"/>
      <c r="F12" s="91"/>
    </row>
    <row r="14" spans="1:10" ht="16.5" customHeight="1" x14ac:dyDescent="0.3">
      <c r="B14" s="136" t="s">
        <v>57</v>
      </c>
      <c r="C14" s="137"/>
      <c r="D14" s="137"/>
      <c r="E14" s="137"/>
      <c r="F14" s="137"/>
      <c r="G14" s="27"/>
      <c r="H14" s="27"/>
    </row>
    <row r="15" spans="1:10" ht="29.25" customHeight="1" x14ac:dyDescent="0.3">
      <c r="B15" s="28" t="s">
        <v>176</v>
      </c>
      <c r="C15" s="115" t="s">
        <v>180</v>
      </c>
      <c r="D15" s="29" t="str">
        <f>$D$9</f>
        <v>Gaz</v>
      </c>
      <c r="E15" s="29" t="str">
        <f>$E$9</f>
        <v>Autre 1</v>
      </c>
      <c r="F15" s="29" t="str">
        <f>$F$9</f>
        <v>Autre 2</v>
      </c>
      <c r="G15" s="29" t="s">
        <v>82</v>
      </c>
      <c r="H15" s="31" t="s">
        <v>82</v>
      </c>
    </row>
    <row r="16" spans="1:10" ht="12.6" customHeight="1" x14ac:dyDescent="0.3">
      <c r="B16" s="24" t="s">
        <v>80</v>
      </c>
      <c r="C16" s="30" t="s">
        <v>80</v>
      </c>
      <c r="D16" s="30" t="s">
        <v>80</v>
      </c>
      <c r="E16" s="30" t="s">
        <v>80</v>
      </c>
      <c r="F16" s="30" t="s">
        <v>80</v>
      </c>
      <c r="G16" s="30" t="s">
        <v>80</v>
      </c>
      <c r="H16" s="32" t="s">
        <v>86</v>
      </c>
    </row>
    <row r="17" spans="2:14" x14ac:dyDescent="0.3">
      <c r="B17" s="5">
        <f>I11*H11</f>
        <v>0</v>
      </c>
      <c r="C17" s="5">
        <f>J11*H11</f>
        <v>0</v>
      </c>
      <c r="D17" s="6"/>
      <c r="E17" s="6"/>
      <c r="F17" s="6"/>
      <c r="G17" s="9">
        <f>SUM(B17:F17)</f>
        <v>0</v>
      </c>
      <c r="H17" s="9">
        <f>G17/$B$6</f>
        <v>0</v>
      </c>
    </row>
    <row r="20" spans="2:14" ht="16.5" customHeight="1" x14ac:dyDescent="0.3">
      <c r="B20" s="136" t="s">
        <v>68</v>
      </c>
      <c r="C20" s="137"/>
      <c r="D20" s="137"/>
      <c r="E20" s="137"/>
      <c r="F20" s="137"/>
      <c r="G20" s="27"/>
      <c r="H20" s="27"/>
      <c r="J20" s="110" t="s">
        <v>58</v>
      </c>
      <c r="K20" s="111"/>
      <c r="L20" s="111"/>
      <c r="M20" s="111"/>
      <c r="N20" s="112"/>
    </row>
    <row r="21" spans="2:14" ht="24" customHeight="1" x14ac:dyDescent="0.3">
      <c r="B21" s="115" t="str">
        <f>$B$15</f>
        <v>Electricité spécifique</v>
      </c>
      <c r="C21" s="115" t="str">
        <f>$C$15</f>
        <v>Electricité non spécifique</v>
      </c>
      <c r="D21" s="29" t="str">
        <f>$D$9</f>
        <v>Gaz</v>
      </c>
      <c r="E21" s="29" t="str">
        <f>$E$9</f>
        <v>Autre 1</v>
      </c>
      <c r="F21" s="29" t="str">
        <f>$F$9</f>
        <v>Autre 2</v>
      </c>
      <c r="G21" s="29" t="s">
        <v>82</v>
      </c>
      <c r="H21" s="31" t="s">
        <v>82</v>
      </c>
      <c r="J21" s="141" t="s">
        <v>54</v>
      </c>
      <c r="K21" s="142"/>
      <c r="L21" s="114" t="str">
        <f>$D$9</f>
        <v>Gaz</v>
      </c>
      <c r="M21" s="29" t="str">
        <f>$E$9</f>
        <v>Autre 1</v>
      </c>
      <c r="N21" s="31" t="str">
        <f>$F$9</f>
        <v>Autre 2</v>
      </c>
    </row>
    <row r="22" spans="2:14" ht="12.6" customHeight="1" x14ac:dyDescent="0.3">
      <c r="B22" s="24" t="s">
        <v>81</v>
      </c>
      <c r="C22" s="30" t="s">
        <v>81</v>
      </c>
      <c r="D22" s="30" t="s">
        <v>81</v>
      </c>
      <c r="E22" s="30" t="s">
        <v>81</v>
      </c>
      <c r="F22" s="30" t="s">
        <v>81</v>
      </c>
      <c r="G22" s="30" t="s">
        <v>81</v>
      </c>
      <c r="H22" s="32" t="s">
        <v>87</v>
      </c>
      <c r="J22" s="143" t="s">
        <v>100</v>
      </c>
      <c r="K22" s="144"/>
      <c r="L22" s="30" t="s">
        <v>100</v>
      </c>
      <c r="M22" s="24" t="s">
        <v>100</v>
      </c>
      <c r="N22" s="60" t="s">
        <v>100</v>
      </c>
    </row>
    <row r="23" spans="2:14" x14ac:dyDescent="0.3">
      <c r="B23" s="5">
        <f>B17*J23</f>
        <v>0</v>
      </c>
      <c r="C23" s="5">
        <f>C17*J23</f>
        <v>0</v>
      </c>
      <c r="D23" s="5">
        <f>D17*L23</f>
        <v>0</v>
      </c>
      <c r="E23" s="5">
        <f>E17*M23</f>
        <v>0</v>
      </c>
      <c r="F23" s="5">
        <f>F17*N23</f>
        <v>0</v>
      </c>
      <c r="G23" s="9">
        <f>SUM(B23:F23)</f>
        <v>0</v>
      </c>
      <c r="H23" s="9">
        <f>G23/$B$6</f>
        <v>0</v>
      </c>
      <c r="J23" s="139"/>
      <c r="K23" s="140"/>
      <c r="L23" s="6"/>
      <c r="M23" s="6"/>
      <c r="N23" s="6"/>
    </row>
    <row r="25" spans="2:14" ht="16.5" customHeight="1" x14ac:dyDescent="0.3">
      <c r="B25" s="136" t="s">
        <v>56</v>
      </c>
      <c r="C25" s="137"/>
      <c r="D25" s="137"/>
      <c r="E25" s="137"/>
      <c r="F25" s="137"/>
      <c r="G25" s="27"/>
      <c r="H25" s="27"/>
      <c r="J25" s="110" t="s">
        <v>60</v>
      </c>
      <c r="K25" s="111"/>
      <c r="L25" s="111"/>
      <c r="M25" s="111"/>
      <c r="N25" s="112"/>
    </row>
    <row r="26" spans="2:14" ht="26.25" customHeight="1" x14ac:dyDescent="0.3">
      <c r="B26" s="115" t="str">
        <f>$B$15</f>
        <v>Electricité spécifique</v>
      </c>
      <c r="C26" s="115" t="str">
        <f>$C$15</f>
        <v>Electricité non spécifique</v>
      </c>
      <c r="D26" s="29" t="str">
        <f>$D$9</f>
        <v>Gaz</v>
      </c>
      <c r="E26" s="29" t="str">
        <f>$E$9</f>
        <v>Autre 1</v>
      </c>
      <c r="F26" s="29" t="str">
        <f>$F$9</f>
        <v>Autre 2</v>
      </c>
      <c r="G26" s="29" t="s">
        <v>82</v>
      </c>
      <c r="H26" s="31" t="s">
        <v>82</v>
      </c>
      <c r="J26" s="141" t="s">
        <v>54</v>
      </c>
      <c r="K26" s="142"/>
      <c r="L26" s="114" t="str">
        <f t="shared" ref="L26:N26" si="0">L21</f>
        <v>Gaz</v>
      </c>
      <c r="M26" s="114" t="str">
        <f t="shared" si="0"/>
        <v>Autre 1</v>
      </c>
      <c r="N26" s="114" t="str">
        <f t="shared" si="0"/>
        <v>Autre 2</v>
      </c>
    </row>
    <row r="27" spans="2:14" ht="12.6" customHeight="1" x14ac:dyDescent="0.3">
      <c r="B27" s="24" t="s">
        <v>117</v>
      </c>
      <c r="C27" s="30" t="s">
        <v>117</v>
      </c>
      <c r="D27" s="30" t="s">
        <v>117</v>
      </c>
      <c r="E27" s="30" t="s">
        <v>117</v>
      </c>
      <c r="F27" s="30" t="s">
        <v>117</v>
      </c>
      <c r="G27" s="30" t="s">
        <v>117</v>
      </c>
      <c r="H27" s="32" t="s">
        <v>118</v>
      </c>
      <c r="J27" s="143" t="s">
        <v>99</v>
      </c>
      <c r="K27" s="153"/>
      <c r="L27" s="30" t="s">
        <v>99</v>
      </c>
      <c r="M27" s="30" t="s">
        <v>99</v>
      </c>
      <c r="N27" s="32" t="s">
        <v>99</v>
      </c>
    </row>
    <row r="28" spans="2:14" x14ac:dyDescent="0.3">
      <c r="B28" s="7">
        <f>B17*J28/1000</f>
        <v>0</v>
      </c>
      <c r="C28" s="7">
        <f>C17*K28/1000</f>
        <v>0</v>
      </c>
      <c r="D28" s="7">
        <f>D17*L28/1000</f>
        <v>0</v>
      </c>
      <c r="E28" s="7">
        <f>E17*M28/1000</f>
        <v>0</v>
      </c>
      <c r="F28" s="7">
        <f>F17*N28/1000</f>
        <v>0</v>
      </c>
      <c r="G28" s="8">
        <f>SUM(B28:F28)</f>
        <v>0</v>
      </c>
      <c r="H28" s="9">
        <f>G28/$B$6</f>
        <v>0</v>
      </c>
      <c r="J28" s="154">
        <v>75</v>
      </c>
      <c r="K28" s="155"/>
      <c r="L28" s="4">
        <v>219</v>
      </c>
      <c r="M28" s="6"/>
      <c r="N28" s="6"/>
    </row>
    <row r="30" spans="2:14" ht="16.5" customHeight="1" x14ac:dyDescent="0.3">
      <c r="B30" s="136" t="s">
        <v>66</v>
      </c>
      <c r="C30" s="137"/>
      <c r="D30" s="137"/>
      <c r="E30" s="137"/>
      <c r="F30" s="138"/>
    </row>
    <row r="31" spans="2:14" s="13" customFormat="1" ht="16.5" customHeight="1" x14ac:dyDescent="0.3">
      <c r="B31" s="156" t="s">
        <v>70</v>
      </c>
      <c r="C31" s="157"/>
      <c r="D31" s="157" t="s">
        <v>71</v>
      </c>
      <c r="E31" s="157"/>
      <c r="F31" s="33"/>
      <c r="G31" s="12"/>
      <c r="H31" s="12"/>
      <c r="I31" s="12"/>
    </row>
    <row r="32" spans="2:14" ht="24.95" customHeight="1" x14ac:dyDescent="0.3">
      <c r="B32" s="23" t="s">
        <v>64</v>
      </c>
      <c r="C32" s="26" t="s">
        <v>69</v>
      </c>
      <c r="D32" s="26" t="s">
        <v>64</v>
      </c>
      <c r="E32" s="26" t="s">
        <v>69</v>
      </c>
      <c r="F32" s="34" t="s">
        <v>67</v>
      </c>
    </row>
    <row r="33" spans="2:9" x14ac:dyDescent="0.3">
      <c r="B33" s="6"/>
      <c r="C33" s="6"/>
      <c r="D33" s="6"/>
      <c r="E33" s="6"/>
      <c r="F33" s="9">
        <f>B33+C33</f>
        <v>0</v>
      </c>
    </row>
    <row r="35" spans="2:9" x14ac:dyDescent="0.3">
      <c r="B35" s="136" t="s">
        <v>111</v>
      </c>
      <c r="C35" s="137"/>
      <c r="D35" s="137"/>
      <c r="E35" s="137"/>
      <c r="F35" s="27"/>
      <c r="G35" s="14"/>
      <c r="H35" s="14"/>
    </row>
    <row r="36" spans="2:9" ht="24.95" customHeight="1" x14ac:dyDescent="0.3">
      <c r="B36" s="23" t="s">
        <v>61</v>
      </c>
      <c r="C36" s="26" t="s">
        <v>62</v>
      </c>
      <c r="D36" s="26" t="s">
        <v>63</v>
      </c>
      <c r="E36" s="26" t="s">
        <v>65</v>
      </c>
      <c r="F36" s="34" t="s">
        <v>64</v>
      </c>
      <c r="G36" s="15"/>
      <c r="H36" s="15"/>
      <c r="I36" s="14"/>
    </row>
    <row r="37" spans="2:9" x14ac:dyDescent="0.3">
      <c r="B37" s="117" t="e">
        <f>SUMPRODUCT(B10:F10,B17:F17)/G17</f>
        <v>#DIV/0!</v>
      </c>
      <c r="C37" s="117" t="e">
        <f>SUMPRODUCT(B11:F11,B17:F17)/G17</f>
        <v>#DIV/0!</v>
      </c>
      <c r="D37" s="117" t="e">
        <f>SUMPRODUCT(B12:F12,B17:F17)/G17</f>
        <v>#DIV/0!</v>
      </c>
      <c r="E37" s="10" t="e">
        <f>F33/G17</f>
        <v>#DIV/0!</v>
      </c>
      <c r="F37" s="10" t="e">
        <f>(B33+D33)/F33</f>
        <v>#DIV/0!</v>
      </c>
      <c r="G37" s="16"/>
      <c r="H37" s="16"/>
      <c r="I37" s="15"/>
    </row>
    <row r="38" spans="2:9" x14ac:dyDescent="0.3">
      <c r="I38" s="16"/>
    </row>
    <row r="39" spans="2:9" ht="16.5" customHeight="1" x14ac:dyDescent="0.3">
      <c r="B39" s="136" t="s">
        <v>112</v>
      </c>
      <c r="C39" s="137"/>
      <c r="D39" s="137"/>
      <c r="E39" s="138"/>
      <c r="F39" s="14"/>
      <c r="G39" s="14"/>
      <c r="H39" s="14"/>
    </row>
    <row r="40" spans="2:9" ht="24.95" customHeight="1" x14ac:dyDescent="0.3">
      <c r="B40" s="68" t="s">
        <v>113</v>
      </c>
      <c r="C40" s="68" t="s">
        <v>114</v>
      </c>
      <c r="D40" s="68" t="s">
        <v>115</v>
      </c>
      <c r="E40" s="68" t="s">
        <v>116</v>
      </c>
      <c r="F40" s="15"/>
      <c r="G40" s="15"/>
      <c r="H40" s="15"/>
      <c r="I40" s="14"/>
    </row>
    <row r="41" spans="2:9" x14ac:dyDescent="0.3">
      <c r="B41" s="4">
        <f>G23</f>
        <v>0</v>
      </c>
      <c r="C41" s="4">
        <f>H23</f>
        <v>0</v>
      </c>
      <c r="D41" s="6"/>
      <c r="E41" s="4">
        <f>D41/B6</f>
        <v>0</v>
      </c>
      <c r="F41" s="16"/>
      <c r="G41" s="16"/>
      <c r="H41" s="16"/>
      <c r="I41" s="15"/>
    </row>
    <row r="42" spans="2:9" x14ac:dyDescent="0.3">
      <c r="I42" s="16"/>
    </row>
  </sheetData>
  <mergeCells count="21">
    <mergeCell ref="J26:K26"/>
    <mergeCell ref="J27:K27"/>
    <mergeCell ref="J28:K28"/>
    <mergeCell ref="B39:E39"/>
    <mergeCell ref="B30:F30"/>
    <mergeCell ref="B31:C31"/>
    <mergeCell ref="D31:E31"/>
    <mergeCell ref="B35:E35"/>
    <mergeCell ref="B4:D4"/>
    <mergeCell ref="B8:F8"/>
    <mergeCell ref="B25:F25"/>
    <mergeCell ref="B20:F20"/>
    <mergeCell ref="J23:K23"/>
    <mergeCell ref="J21:K21"/>
    <mergeCell ref="J22:K22"/>
    <mergeCell ref="H8:J8"/>
    <mergeCell ref="B9:C9"/>
    <mergeCell ref="B10:C10"/>
    <mergeCell ref="B11:C11"/>
    <mergeCell ref="B12:C12"/>
    <mergeCell ref="B14:F14"/>
  </mergeCells>
  <pageMargins left="0.23622047244094491" right="0.23622047244094491" top="0.74803149606299213" bottom="0.74803149606299213" header="0.31496062992125984" footer="0.31496062992125984"/>
  <pageSetup paperSize="9" scale="47" orientation="portrait" r:id="rId1"/>
  <headerFooter>
    <oddHeader>&amp;CCPU | PEEC 2030</oddHeader>
    <oddFooter>&amp;L&amp;G&amp;CFévrier 2019| Page &amp;P / &amp;N&amp;R&amp;"Segoe UI,Normal"&amp;14&amp;G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tabColor rgb="FF5154E1"/>
    <pageSetUpPr fitToPage="1"/>
  </sheetPr>
  <dimension ref="A1:AI53"/>
  <sheetViews>
    <sheetView tabSelected="1" topLeftCell="A22" zoomScale="70" zoomScaleNormal="70" workbookViewId="0">
      <pane xSplit="7" topLeftCell="P1" activePane="topRight" state="frozen"/>
      <selection pane="topRight" activeCell="AB40" sqref="AB40"/>
    </sheetView>
  </sheetViews>
  <sheetFormatPr baseColWidth="10" defaultRowHeight="12" x14ac:dyDescent="0.2"/>
  <cols>
    <col min="1" max="1" width="5.85546875" style="55" bestFit="1" customWidth="1"/>
    <col min="2" max="2" width="20.7109375" style="56" customWidth="1"/>
    <col min="3" max="3" width="40.7109375" style="57" customWidth="1"/>
    <col min="4" max="5" width="9.85546875" style="58" customWidth="1"/>
    <col min="6" max="6" width="12.7109375" style="59" customWidth="1"/>
    <col min="7" max="7" width="12.7109375" style="57" customWidth="1"/>
    <col min="8" max="8" width="17.140625" style="57" customWidth="1"/>
    <col min="9" max="25" width="12.7109375" style="59" customWidth="1"/>
    <col min="26" max="26" width="1.7109375" style="13" customWidth="1"/>
    <col min="27" max="35" width="12.7109375" style="59" customWidth="1"/>
    <col min="36" max="16384" width="11.42578125" style="13"/>
  </cols>
  <sheetData>
    <row r="1" spans="1:35" s="17" customFormat="1" ht="27" x14ac:dyDescent="0.5">
      <c r="A1" s="43" t="s">
        <v>89</v>
      </c>
      <c r="B1" s="40" t="s">
        <v>90</v>
      </c>
      <c r="C1" s="36"/>
      <c r="G1" s="36"/>
      <c r="H1" s="36"/>
    </row>
    <row r="2" spans="1:35" s="12" customFormat="1" ht="98.25" customHeight="1" x14ac:dyDescent="0.3">
      <c r="B2" s="158" t="s">
        <v>186</v>
      </c>
      <c r="C2" s="158"/>
      <c r="D2" s="158"/>
      <c r="E2" s="158"/>
      <c r="F2" s="158"/>
      <c r="G2" s="158"/>
      <c r="H2" s="38"/>
    </row>
    <row r="3" spans="1:35" s="18" customFormat="1" ht="16.5" x14ac:dyDescent="0.3">
      <c r="B3" s="39"/>
      <c r="C3" s="37"/>
      <c r="D3" s="21"/>
      <c r="E3" s="21"/>
      <c r="F3" s="21"/>
      <c r="G3" s="44"/>
      <c r="H3" s="44"/>
      <c r="Z3" s="53"/>
    </row>
    <row r="4" spans="1:35" s="50" customFormat="1" ht="15" customHeight="1" x14ac:dyDescent="0.25">
      <c r="A4" s="165" t="s">
        <v>42</v>
      </c>
      <c r="B4" s="164" t="s">
        <v>34</v>
      </c>
      <c r="C4" s="164" t="s">
        <v>36</v>
      </c>
      <c r="D4" s="61"/>
      <c r="E4" s="101"/>
      <c r="F4" s="170" t="s">
        <v>44</v>
      </c>
      <c r="G4" s="137"/>
      <c r="H4" s="137"/>
      <c r="I4" s="137"/>
      <c r="J4" s="137"/>
      <c r="K4" s="171"/>
      <c r="L4" s="164" t="s">
        <v>37</v>
      </c>
      <c r="M4" s="164"/>
      <c r="N4" s="164"/>
      <c r="O4" s="164"/>
      <c r="P4" s="164"/>
      <c r="Q4" s="164" t="s">
        <v>50</v>
      </c>
      <c r="R4" s="164"/>
      <c r="S4" s="164"/>
      <c r="T4" s="164"/>
      <c r="U4" s="164"/>
      <c r="V4" s="164" t="s">
        <v>95</v>
      </c>
      <c r="W4" s="164"/>
      <c r="X4" s="170"/>
      <c r="Y4" s="174"/>
      <c r="Z4" s="66"/>
      <c r="AA4" s="175" t="s">
        <v>53</v>
      </c>
      <c r="AB4" s="164"/>
      <c r="AC4" s="164"/>
      <c r="AD4" s="164"/>
      <c r="AE4" s="170"/>
      <c r="AF4" s="174"/>
    </row>
    <row r="5" spans="1:35" s="54" customFormat="1" ht="39" customHeight="1" x14ac:dyDescent="0.25">
      <c r="A5" s="166"/>
      <c r="B5" s="168"/>
      <c r="C5" s="168"/>
      <c r="D5" s="172" t="s">
        <v>143</v>
      </c>
      <c r="E5" s="98" t="s">
        <v>156</v>
      </c>
      <c r="F5" s="159" t="s">
        <v>52</v>
      </c>
      <c r="G5" s="159" t="s">
        <v>46</v>
      </c>
      <c r="H5" s="159" t="s">
        <v>187</v>
      </c>
      <c r="I5" s="159" t="s">
        <v>94</v>
      </c>
      <c r="J5" s="159" t="s">
        <v>127</v>
      </c>
      <c r="K5" s="159" t="s">
        <v>128</v>
      </c>
      <c r="L5" s="159" t="s">
        <v>38</v>
      </c>
      <c r="M5" s="159" t="s">
        <v>101</v>
      </c>
      <c r="N5" s="159" t="s">
        <v>39</v>
      </c>
      <c r="O5" s="159" t="s">
        <v>40</v>
      </c>
      <c r="P5" s="159" t="s">
        <v>41</v>
      </c>
      <c r="Q5" s="52" t="str">
        <f>'1_Etat Initial'!B15</f>
        <v>Electricité spécifique</v>
      </c>
      <c r="R5" s="52" t="str">
        <f>'1_Etat Initial'!C15</f>
        <v>Electricité non spécifique</v>
      </c>
      <c r="S5" s="52" t="str">
        <f>'1_Etat Initial'!D15</f>
        <v>Gaz</v>
      </c>
      <c r="T5" s="52" t="str">
        <f>'1_Etat Initial'!E15</f>
        <v>Autre 1</v>
      </c>
      <c r="U5" s="52" t="str">
        <f>'1_Etat Initial'!F15</f>
        <v>Autre 2</v>
      </c>
      <c r="V5" s="159" t="s">
        <v>96</v>
      </c>
      <c r="W5" s="159" t="s">
        <v>98</v>
      </c>
      <c r="X5" s="160" t="s">
        <v>103</v>
      </c>
      <c r="Y5" s="161" t="s">
        <v>97</v>
      </c>
      <c r="Z5" s="67"/>
      <c r="AA5" s="176" t="s">
        <v>43</v>
      </c>
      <c r="AB5" s="159" t="s">
        <v>51</v>
      </c>
      <c r="AC5" s="159" t="s">
        <v>107</v>
      </c>
      <c r="AD5" s="159" t="s">
        <v>184</v>
      </c>
      <c r="AE5" s="159" t="s">
        <v>93</v>
      </c>
      <c r="AF5" s="161" t="s">
        <v>102</v>
      </c>
      <c r="AG5" s="159" t="s">
        <v>183</v>
      </c>
      <c r="AH5" s="159" t="s">
        <v>160</v>
      </c>
      <c r="AI5" s="161" t="s">
        <v>161</v>
      </c>
    </row>
    <row r="6" spans="1:35" s="54" customFormat="1" ht="48.75" customHeight="1" x14ac:dyDescent="0.25">
      <c r="A6" s="167"/>
      <c r="B6" s="169"/>
      <c r="C6" s="169"/>
      <c r="D6" s="173"/>
      <c r="E6" s="98" t="s">
        <v>155</v>
      </c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72" t="s">
        <v>80</v>
      </c>
      <c r="R6" s="72" t="s">
        <v>80</v>
      </c>
      <c r="S6" s="72" t="s">
        <v>80</v>
      </c>
      <c r="T6" s="72" t="s">
        <v>80</v>
      </c>
      <c r="U6" s="72" t="s">
        <v>80</v>
      </c>
      <c r="V6" s="160"/>
      <c r="W6" s="160"/>
      <c r="X6" s="163"/>
      <c r="Y6" s="162"/>
      <c r="Z6" s="67"/>
      <c r="AA6" s="177"/>
      <c r="AB6" s="160"/>
      <c r="AC6" s="160"/>
      <c r="AD6" s="160"/>
      <c r="AE6" s="160"/>
      <c r="AF6" s="162"/>
      <c r="AG6" s="160"/>
      <c r="AH6" s="160"/>
      <c r="AI6" s="162"/>
    </row>
    <row r="7" spans="1:35" s="118" customFormat="1" ht="24" customHeight="1" x14ac:dyDescent="0.2">
      <c r="A7" s="64">
        <v>1</v>
      </c>
      <c r="B7" s="48" t="s">
        <v>35</v>
      </c>
      <c r="C7" s="99" t="s">
        <v>141</v>
      </c>
      <c r="D7" s="102" t="s">
        <v>135</v>
      </c>
      <c r="E7" s="102" t="s">
        <v>157</v>
      </c>
      <c r="F7" s="49">
        <v>1</v>
      </c>
      <c r="G7" s="46" t="s">
        <v>45</v>
      </c>
      <c r="H7" s="49"/>
      <c r="I7" s="49"/>
      <c r="J7" s="2"/>
      <c r="K7" s="2"/>
      <c r="L7" s="3" t="str">
        <f>IF(AA7="spécifique", "spécifique",AA7*$F7)</f>
        <v>spécifique</v>
      </c>
      <c r="M7" s="3">
        <f t="shared" ref="M7:M36" si="0">ROUNDUP(AB7*AC7,-2)</f>
        <v>0</v>
      </c>
      <c r="N7" s="3">
        <f>SUMPRODUCT(Q7:U7,'1_Etat Initial'!$J$23:$N$23)/1000</f>
        <v>0</v>
      </c>
      <c r="O7" s="3">
        <f>AI7*'1_Etat Initial'!$D$41</f>
        <v>0</v>
      </c>
      <c r="P7" s="3" t="str">
        <f>IF((N7+O7)=0,"spécifique",IF(L7="spécifique","spécifique",(L7+M7)/(N7+O7)))</f>
        <v>spécifique</v>
      </c>
      <c r="Q7" s="3">
        <f>AD7*F7</f>
        <v>0</v>
      </c>
      <c r="R7" s="3">
        <f>IF(TYPE(AH7)=1,IF($H7=R$5,$AH7*'1_Etat Initial'!$C$17,0),AH7)</f>
        <v>0</v>
      </c>
      <c r="S7" s="3">
        <f>IF(TYPE(AH7)=1,IF($H7=S$5,$AH7*'1_Etat Initial'!$D$17,0),AH7)</f>
        <v>0</v>
      </c>
      <c r="T7" s="3">
        <f>IF(TYPE(AH7)=1,IF($H7=T$5,$AH7*'1_Etat Initial'!$E$17,0),AH7)</f>
        <v>0</v>
      </c>
      <c r="U7" s="3">
        <f>IF(TYPE(AH7)=1,IF($H7=U$5,$AH7*'1_Etat Initial'!$F$17,0),AH7)</f>
        <v>0</v>
      </c>
      <c r="V7" s="49"/>
      <c r="W7" s="49"/>
      <c r="X7" s="70"/>
      <c r="Y7" s="65">
        <f>SUMPRODUCT(Q7:U7,'1_Etat Initial'!$J$28:$N$28)/1000</f>
        <v>0</v>
      </c>
      <c r="Z7" s="133"/>
      <c r="AA7" s="106" t="s">
        <v>171</v>
      </c>
      <c r="AB7" s="107"/>
      <c r="AC7" s="3"/>
      <c r="AD7" s="49">
        <f>IF(AG7="spécifique", "0",AG7*'1_Etat Initial'!$B$17/F7)</f>
        <v>0</v>
      </c>
      <c r="AE7" s="49">
        <f>IF(TYPE(AH7)=1,IF($H7=R$5,$AH7*'1_Etat Initial'!$C$17,IF($H7=S$5,$AH7*'1_Etat Initial'!$D$17,IF($H7=T$5,$AH7*'1_Etat Initial'!$E$17,IF($H7=U$5,$AH7*'1_Etat Initial'!$F$17,AH7))))/F7,AH7)</f>
        <v>0.5</v>
      </c>
      <c r="AF7" s="71">
        <f>AI7*'1_Etat Initial'!$D$41</f>
        <v>0</v>
      </c>
      <c r="AG7" s="104">
        <v>0</v>
      </c>
      <c r="AH7" s="103">
        <v>0.5</v>
      </c>
      <c r="AI7" s="116">
        <v>0.01</v>
      </c>
    </row>
    <row r="8" spans="1:35" s="118" customFormat="1" ht="36" x14ac:dyDescent="0.2">
      <c r="A8" s="64">
        <v>2</v>
      </c>
      <c r="B8" s="48" t="s">
        <v>35</v>
      </c>
      <c r="C8" s="47" t="s">
        <v>145</v>
      </c>
      <c r="D8" s="45" t="s">
        <v>135</v>
      </c>
      <c r="E8" s="45" t="s">
        <v>157</v>
      </c>
      <c r="F8" s="49">
        <v>1</v>
      </c>
      <c r="G8" s="46" t="s">
        <v>162</v>
      </c>
      <c r="H8" s="49"/>
      <c r="I8" s="49"/>
      <c r="J8" s="2"/>
      <c r="K8" s="2"/>
      <c r="L8" s="3">
        <f t="shared" ref="L8:L52" si="1">IF(AA8="spécifique", "spécifique",AA8*$F8)</f>
        <v>5.2749999999999995</v>
      </c>
      <c r="M8" s="3">
        <f t="shared" si="0"/>
        <v>0</v>
      </c>
      <c r="N8" s="3">
        <f>SUMPRODUCT(Q8:U8,'1_Etat Initial'!$J$23:$N$23)/1000</f>
        <v>0</v>
      </c>
      <c r="O8" s="3">
        <f>AI8*'1_Etat Initial'!$D$41</f>
        <v>0</v>
      </c>
      <c r="P8" s="3" t="str">
        <f t="shared" ref="P8:P52" si="2">IF((N8+O8)=0,"spécifique",IF(L8="spécifique","spécifique",(L8+M8)/(N8+O8)))</f>
        <v>spécifique</v>
      </c>
      <c r="Q8" s="3">
        <f t="shared" ref="Q8:Q52" si="3">AD8*F8</f>
        <v>0</v>
      </c>
      <c r="R8" s="3">
        <f>IF(TYPE(AH8)=1,IF($H8=R$5,$AH8*'1_Etat Initial'!$C$17,0),AH8)</f>
        <v>0</v>
      </c>
      <c r="S8" s="3">
        <f>IF(TYPE(AH8)=1,IF($H8=S$5,$AH8*'1_Etat Initial'!$D$17,0),AH8)</f>
        <v>0</v>
      </c>
      <c r="T8" s="3">
        <f>IF(TYPE(AH8)=1,IF($H8=T$5,$AH8*'1_Etat Initial'!$E$17,0),AH8)</f>
        <v>0</v>
      </c>
      <c r="U8" s="3">
        <f>IF(TYPE(AH8)=1,IF($H8=U$5,$AH8*'1_Etat Initial'!$F$17,0),AH8)</f>
        <v>0</v>
      </c>
      <c r="V8" s="49"/>
      <c r="W8" s="49"/>
      <c r="X8" s="70"/>
      <c r="Y8" s="65">
        <f>SUMPRODUCT(Q8:U8,'1_Etat Initial'!$J$28:$N$28)/1000</f>
        <v>0</v>
      </c>
      <c r="AA8" s="106">
        <f>5*1.055</f>
        <v>5.2749999999999995</v>
      </c>
      <c r="AB8" s="107"/>
      <c r="AC8" s="3"/>
      <c r="AD8" s="134">
        <f>IF(AG8="spécifique", "0",AG8*'1_Etat Initial'!$B$17/F8)</f>
        <v>0</v>
      </c>
      <c r="AE8" s="49">
        <f>IF(TYPE(AH8)=1,IF($H8=R$5,$AH8*'1_Etat Initial'!$C$17,IF($H8=S$5,$AH8*'1_Etat Initial'!$D$17,IF($H8=T$5,$AH8*'1_Etat Initial'!$E$17,IF($H8=U$5,$AH8*'1_Etat Initial'!$F$17,AH8))))/F8,AH8)</f>
        <v>7.1999999999999995E-2</v>
      </c>
      <c r="AF8" s="71"/>
      <c r="AG8" s="104">
        <v>0</v>
      </c>
      <c r="AH8" s="103">
        <f>0.8*0.3*0.3</f>
        <v>7.1999999999999995E-2</v>
      </c>
      <c r="AI8" s="65"/>
    </row>
    <row r="9" spans="1:35" s="118" customFormat="1" ht="42" customHeight="1" x14ac:dyDescent="0.2">
      <c r="A9" s="64">
        <v>3</v>
      </c>
      <c r="B9" s="48" t="s">
        <v>35</v>
      </c>
      <c r="C9" s="47" t="s">
        <v>146</v>
      </c>
      <c r="D9" s="45" t="s">
        <v>135</v>
      </c>
      <c r="E9" s="45" t="s">
        <v>157</v>
      </c>
      <c r="F9" s="49">
        <v>1</v>
      </c>
      <c r="G9" s="46" t="s">
        <v>163</v>
      </c>
      <c r="H9" s="49"/>
      <c r="I9" s="49"/>
      <c r="J9" s="2"/>
      <c r="K9" s="2"/>
      <c r="L9" s="3">
        <f>IF(AA9="spécifique", "spécifique",AA9*$F9)</f>
        <v>100</v>
      </c>
      <c r="M9" s="3">
        <f t="shared" si="0"/>
        <v>0</v>
      </c>
      <c r="N9" s="3">
        <f>SUMPRODUCT(Q9:U9,'1_Etat Initial'!$J$23:$N$23)/1000</f>
        <v>0</v>
      </c>
      <c r="O9" s="3">
        <f>AI9*'1_Etat Initial'!$D$41</f>
        <v>0</v>
      </c>
      <c r="P9" s="3" t="str">
        <f t="shared" si="2"/>
        <v>spécifique</v>
      </c>
      <c r="Q9" s="3">
        <f>AD9*F9</f>
        <v>0</v>
      </c>
      <c r="R9" s="3">
        <f>IF(TYPE(AH9)=1,IF($H9=R$5,$AH9*'1_Etat Initial'!$C$17,0),AH9)</f>
        <v>0</v>
      </c>
      <c r="S9" s="3">
        <f>IF(TYPE(AH9)=1,IF($H9=S$5,$AH9*'1_Etat Initial'!$D$17,0),AH9)</f>
        <v>0</v>
      </c>
      <c r="T9" s="3">
        <f>IF(TYPE(AH9)=1,IF($H9=T$5,$AH9*'1_Etat Initial'!$E$17,0),AH9)</f>
        <v>0</v>
      </c>
      <c r="U9" s="3">
        <f>IF(TYPE(AH9)=1,IF($H9=U$5,$AH9*'1_Etat Initial'!$F$17,0),AH9)</f>
        <v>0</v>
      </c>
      <c r="V9" s="49"/>
      <c r="W9" s="49"/>
      <c r="X9" s="70"/>
      <c r="Y9" s="65">
        <f>SUMPRODUCT(Q9:U9,'1_Etat Initial'!$J$28:$N$28)/1000</f>
        <v>0</v>
      </c>
      <c r="AA9" s="106">
        <v>100</v>
      </c>
      <c r="AB9" s="107"/>
      <c r="AC9" s="3"/>
      <c r="AD9" s="134">
        <f>IF(AG9="spécifique", "0",AG9*'1_Etat Initial'!$B$17/F9)</f>
        <v>0</v>
      </c>
      <c r="AE9" s="49">
        <f>IF(TYPE(AH9)=1,IF($H9=R$5,$AH9*'1_Etat Initial'!$C$17,IF($H9=S$5,$AH9*'1_Etat Initial'!$D$17,IF($H9=T$5,$AH9*'1_Etat Initial'!$E$17,IF($H9=U$5,$AH9*'1_Etat Initial'!$F$17,AH9))))/F9,AH9)</f>
        <v>0.3</v>
      </c>
      <c r="AF9" s="71">
        <f>AI9*'1_Etat Initial'!$D$41/F9</f>
        <v>0</v>
      </c>
      <c r="AG9" s="104">
        <v>0.02</v>
      </c>
      <c r="AH9" s="103">
        <v>0.3</v>
      </c>
      <c r="AI9" s="108">
        <v>0.2</v>
      </c>
    </row>
    <row r="10" spans="1:35" ht="36" x14ac:dyDescent="0.2">
      <c r="A10" s="64">
        <v>4</v>
      </c>
      <c r="B10" s="48" t="s">
        <v>35</v>
      </c>
      <c r="C10" s="47" t="s">
        <v>142</v>
      </c>
      <c r="D10" s="100" t="s">
        <v>135</v>
      </c>
      <c r="E10" s="45" t="s">
        <v>157</v>
      </c>
      <c r="F10" s="49">
        <v>1</v>
      </c>
      <c r="G10" s="46" t="s">
        <v>162</v>
      </c>
      <c r="H10" s="49"/>
      <c r="I10" s="49"/>
      <c r="J10" s="2"/>
      <c r="K10" s="2"/>
      <c r="L10" s="3">
        <f t="shared" si="1"/>
        <v>5.2749999999999995</v>
      </c>
      <c r="M10" s="3">
        <f t="shared" si="0"/>
        <v>0</v>
      </c>
      <c r="N10" s="3">
        <f>SUMPRODUCT(Q10:U10,'1_Etat Initial'!$J$23:$N$23)/1000</f>
        <v>0</v>
      </c>
      <c r="O10" s="3"/>
      <c r="P10" s="3" t="str">
        <f t="shared" si="2"/>
        <v>spécifique</v>
      </c>
      <c r="Q10" s="3">
        <f t="shared" si="3"/>
        <v>0</v>
      </c>
      <c r="R10" s="3">
        <f>IF(TYPE(AH10)=1,IF($H10=R$5,$AH10*'1_Etat Initial'!$C$17,0),AH10)</f>
        <v>0</v>
      </c>
      <c r="S10" s="3">
        <f>IF(TYPE(AH10)=1,IF($H10=S$5,$AH10*'1_Etat Initial'!$D$17,0),AH10)</f>
        <v>0</v>
      </c>
      <c r="T10" s="3">
        <f>IF(TYPE(AH10)=1,IF($H10=T$5,$AH10*'1_Etat Initial'!$E$17,0),AH10)</f>
        <v>0</v>
      </c>
      <c r="U10" s="3">
        <f>IF(TYPE(AH10)=1,IF($H10=U$5,$AH10*'1_Etat Initial'!$F$17,0),AH10)</f>
        <v>0</v>
      </c>
      <c r="V10" s="49"/>
      <c r="W10" s="49"/>
      <c r="X10" s="70"/>
      <c r="Y10" s="65">
        <f>SUMPRODUCT(Q10:U10,'1_Etat Initial'!$J$28:$N$28)/1000</f>
        <v>0</v>
      </c>
      <c r="AA10" s="106">
        <f>5*1.055</f>
        <v>5.2749999999999995</v>
      </c>
      <c r="AB10" s="107"/>
      <c r="AC10" s="3"/>
      <c r="AD10" s="134">
        <f>IF(AG10="spécifique", "0",AG10*'1_Etat Initial'!$B$17/F10)</f>
        <v>0</v>
      </c>
      <c r="AE10" s="49">
        <f>IF(TYPE(AH10)=1,IF($H10=R$5,$AH10*'1_Etat Initial'!$C$17,IF($H10=S$5,$AH10*'1_Etat Initial'!$D$17,IF($H10=T$5,$AH10*'1_Etat Initial'!$E$17,IF($H10=U$5,$AH10*'1_Etat Initial'!$F$17,AH10))))/F10,AH10)</f>
        <v>0.18</v>
      </c>
      <c r="AF10" s="71"/>
      <c r="AG10" s="104">
        <v>-7.0000000000000007E-2</v>
      </c>
      <c r="AH10" s="103">
        <f>0.8*0.3*0.75</f>
        <v>0.18</v>
      </c>
      <c r="AI10" s="65"/>
    </row>
    <row r="11" spans="1:35" ht="24" customHeight="1" x14ac:dyDescent="0.2">
      <c r="A11" s="64">
        <v>5</v>
      </c>
      <c r="B11" s="48" t="s">
        <v>35</v>
      </c>
      <c r="C11" s="47" t="s">
        <v>23</v>
      </c>
      <c r="D11" s="100" t="s">
        <v>134</v>
      </c>
      <c r="E11" s="45" t="s">
        <v>157</v>
      </c>
      <c r="F11" s="49">
        <v>1</v>
      </c>
      <c r="G11" s="46" t="s">
        <v>45</v>
      </c>
      <c r="H11" s="49"/>
      <c r="I11" s="49"/>
      <c r="J11" s="2"/>
      <c r="K11" s="2"/>
      <c r="L11" s="3">
        <f t="shared" si="1"/>
        <v>500</v>
      </c>
      <c r="M11" s="3">
        <f t="shared" si="0"/>
        <v>0</v>
      </c>
      <c r="N11" s="3">
        <f>SUMPRODUCT(Q11:U11,'1_Etat Initial'!$J$23:$N$23)/1000</f>
        <v>0</v>
      </c>
      <c r="O11" s="3"/>
      <c r="P11" s="3" t="str">
        <f t="shared" si="2"/>
        <v>spécifique</v>
      </c>
      <c r="Q11" s="3">
        <f t="shared" si="3"/>
        <v>0</v>
      </c>
      <c r="R11" s="3">
        <f>IF(TYPE(AH11)=1,IF($H11=R$5,$AH11*'1_Etat Initial'!$C$17,0),AH11)</f>
        <v>0</v>
      </c>
      <c r="S11" s="3">
        <f>IF(TYPE(AH11)=1,IF($H11=S$5,$AH11*'1_Etat Initial'!$D$17,0),AH11)</f>
        <v>0</v>
      </c>
      <c r="T11" s="3">
        <f>IF(TYPE(AH11)=1,IF($H11=T$5,$AH11*'1_Etat Initial'!$E$17,0),AH11)</f>
        <v>0</v>
      </c>
      <c r="U11" s="3">
        <f>IF(TYPE(AH11)=1,IF($H11=U$5,$AH11*'1_Etat Initial'!$F$17,0),AH11)</f>
        <v>0</v>
      </c>
      <c r="V11" s="49"/>
      <c r="W11" s="49"/>
      <c r="X11" s="70"/>
      <c r="Y11" s="65">
        <f>SUMPRODUCT(Q11:U11,'1_Etat Initial'!$J$28:$N$28)/1000</f>
        <v>0</v>
      </c>
      <c r="AA11" s="106">
        <v>500</v>
      </c>
      <c r="AB11" s="107"/>
      <c r="AC11" s="3"/>
      <c r="AD11" s="134">
        <f>IF(AG11="spécifique", "0",AG11*'1_Etat Initial'!$B$17/F11)</f>
        <v>0</v>
      </c>
      <c r="AE11" s="49">
        <f>IF(TYPE(AH11)=1,IF($H11=R$5,$AH11*'1_Etat Initial'!$C$17,IF($H11=S$5,$AH11*'1_Etat Initial'!$D$17,IF($H11=T$5,$AH11*'1_Etat Initial'!$E$17,IF($H11=U$5,$AH11*'1_Etat Initial'!$F$17,AH11))))/F11,AH11)</f>
        <v>0.3</v>
      </c>
      <c r="AF11" s="71"/>
      <c r="AG11" s="104">
        <v>-0.15</v>
      </c>
      <c r="AH11" s="103">
        <v>0.3</v>
      </c>
      <c r="AI11" s="65"/>
    </row>
    <row r="12" spans="1:35" ht="24" customHeight="1" x14ac:dyDescent="0.2">
      <c r="A12" s="64">
        <v>6</v>
      </c>
      <c r="B12" s="48" t="s">
        <v>35</v>
      </c>
      <c r="C12" s="47" t="s">
        <v>154</v>
      </c>
      <c r="D12" s="100" t="s">
        <v>135</v>
      </c>
      <c r="E12" s="45" t="s">
        <v>158</v>
      </c>
      <c r="F12" s="105">
        <v>1</v>
      </c>
      <c r="G12" s="105" t="s">
        <v>185</v>
      </c>
      <c r="H12" s="49"/>
      <c r="I12" s="49"/>
      <c r="J12" s="2"/>
      <c r="K12" s="2"/>
      <c r="L12" s="3" t="str">
        <f t="shared" si="1"/>
        <v>spécifique</v>
      </c>
      <c r="M12" s="3">
        <f t="shared" si="0"/>
        <v>0</v>
      </c>
      <c r="N12" s="3">
        <f>SUMPRODUCT(Q12:U12,'1_Etat Initial'!$J$23:$N$23)/1000</f>
        <v>0</v>
      </c>
      <c r="O12" s="3"/>
      <c r="P12" s="3" t="str">
        <f t="shared" si="2"/>
        <v>spécifique</v>
      </c>
      <c r="Q12" s="3">
        <f t="shared" si="3"/>
        <v>0</v>
      </c>
      <c r="R12" s="3" t="str">
        <f>IF(TYPE(AH12)=1,IF($H12=R$5,$AH12*'1_Etat Initial'!$C$17,0),AH12)</f>
        <v>spécifique</v>
      </c>
      <c r="S12" s="3" t="str">
        <f>IF(TYPE(AH12)=1,IF($H12=S$5,$AH12*'1_Etat Initial'!$D$17,0),AH12)</f>
        <v>spécifique</v>
      </c>
      <c r="T12" s="3" t="str">
        <f>IF(TYPE(AH12)=1,IF($H12=T$5,$AH12*'1_Etat Initial'!$E$17,0),AH12)</f>
        <v>spécifique</v>
      </c>
      <c r="U12" s="3" t="str">
        <f>IF(TYPE(AH12)=1,IF($H12=U$5,$AH12*'1_Etat Initial'!$F$17,0),AH12)</f>
        <v>spécifique</v>
      </c>
      <c r="V12" s="49"/>
      <c r="W12" s="49"/>
      <c r="X12" s="70"/>
      <c r="Y12" s="65">
        <f>SUMPRODUCT(Q12:U12,'1_Etat Initial'!$J$28:$N$28)/1000</f>
        <v>0</v>
      </c>
      <c r="AA12" s="106" t="s">
        <v>171</v>
      </c>
      <c r="AB12" s="107"/>
      <c r="AC12" s="3"/>
      <c r="AD12" s="134" t="str">
        <f>IF(AG12="spécifique", "0",AG12*'1_Etat Initial'!$B$17/F12)</f>
        <v>0</v>
      </c>
      <c r="AE12" s="49" t="str">
        <f>IF(TYPE(AH12)=1,IF($H12=R$5,$AH12*'1_Etat Initial'!$C$17,IF($H12=S$5,$AH12*'1_Etat Initial'!$D$17,IF($H12=T$5,$AH12*'1_Etat Initial'!$E$17,IF($H12=U$5,$AH12*'1_Etat Initial'!$F$17,AH12))))/F12,AH12)</f>
        <v>spécifique</v>
      </c>
      <c r="AF12" s="71"/>
      <c r="AG12" s="104" t="s">
        <v>171</v>
      </c>
      <c r="AH12" s="70" t="s">
        <v>171</v>
      </c>
      <c r="AI12" s="65" t="s">
        <v>171</v>
      </c>
    </row>
    <row r="13" spans="1:35" ht="24" customHeight="1" x14ac:dyDescent="0.2">
      <c r="A13" s="64">
        <v>7</v>
      </c>
      <c r="B13" s="48" t="s">
        <v>35</v>
      </c>
      <c r="C13" s="47" t="s">
        <v>30</v>
      </c>
      <c r="D13" s="100" t="s">
        <v>135</v>
      </c>
      <c r="E13" s="45" t="s">
        <v>158</v>
      </c>
      <c r="F13" s="49">
        <v>1</v>
      </c>
      <c r="G13" s="46" t="s">
        <v>164</v>
      </c>
      <c r="H13" s="49"/>
      <c r="I13" s="49"/>
      <c r="J13" s="2"/>
      <c r="K13" s="2"/>
      <c r="L13" s="3">
        <f t="shared" si="1"/>
        <v>15</v>
      </c>
      <c r="M13" s="3">
        <f t="shared" si="0"/>
        <v>0</v>
      </c>
      <c r="N13" s="3">
        <f>SUMPRODUCT(Q13:U13,'1_Etat Initial'!$J$23:$N$23)/1000</f>
        <v>0</v>
      </c>
      <c r="O13" s="3">
        <f>AI13*'1_Etat Initial'!$D$41</f>
        <v>0</v>
      </c>
      <c r="P13" s="3" t="str">
        <f t="shared" si="2"/>
        <v>spécifique</v>
      </c>
      <c r="Q13" s="3">
        <f t="shared" si="3"/>
        <v>0</v>
      </c>
      <c r="R13" s="3">
        <f>IF(TYPE(AH13)=1,IF($H13=R$5,$AH13*'1_Etat Initial'!$C$17,0),AH13)</f>
        <v>0</v>
      </c>
      <c r="S13" s="3">
        <f>IF(TYPE(AH13)=1,IF($H13=S$5,$AH13*'1_Etat Initial'!$D$17,0),AH13)</f>
        <v>0</v>
      </c>
      <c r="T13" s="3">
        <f>IF(TYPE(AH13)=1,IF($H13=T$5,$AH13*'1_Etat Initial'!$E$17,0),AH13)</f>
        <v>0</v>
      </c>
      <c r="U13" s="3">
        <f>IF(TYPE(AH13)=1,IF($H13=U$5,$AH13*'1_Etat Initial'!$F$17,0),AH13)</f>
        <v>0</v>
      </c>
      <c r="V13" s="49"/>
      <c r="W13" s="49"/>
      <c r="X13" s="70"/>
      <c r="Y13" s="65">
        <f>SUMPRODUCT(Q13:U13,'1_Etat Initial'!$J$28:$N$28)/1000</f>
        <v>0</v>
      </c>
      <c r="AA13" s="106">
        <v>15</v>
      </c>
      <c r="AB13" s="107"/>
      <c r="AC13" s="3"/>
      <c r="AD13" s="134">
        <f>IF(AG13="spécifique", "0",AG13*'1_Etat Initial'!$B$17/F13)</f>
        <v>0</v>
      </c>
      <c r="AE13" s="49">
        <f>IF(TYPE(AH13)=1,IF($H13=R$5,$AH13*'1_Etat Initial'!$C$17,IF($H13=S$5,$AH13*'1_Etat Initial'!$D$17,IF($H13=T$5,$AH13*'1_Etat Initial'!$E$17,IF($H13=U$5,$AH13*'1_Etat Initial'!$F$17,AH13))))/F13,AH13)</f>
        <v>0.15</v>
      </c>
      <c r="AF13" s="71">
        <f>AI13*'1_Etat Initial'!$D$41</f>
        <v>0</v>
      </c>
      <c r="AG13" s="104">
        <v>0.15</v>
      </c>
      <c r="AH13" s="104">
        <v>0.15</v>
      </c>
      <c r="AI13" s="108">
        <v>0.15</v>
      </c>
    </row>
    <row r="14" spans="1:35" ht="24" customHeight="1" x14ac:dyDescent="0.2">
      <c r="A14" s="64">
        <v>8</v>
      </c>
      <c r="B14" s="48" t="s">
        <v>35</v>
      </c>
      <c r="C14" s="47" t="s">
        <v>150</v>
      </c>
      <c r="D14" s="100" t="s">
        <v>135</v>
      </c>
      <c r="E14" s="45" t="s">
        <v>158</v>
      </c>
      <c r="F14" s="49">
        <v>1</v>
      </c>
      <c r="G14" s="46" t="s">
        <v>164</v>
      </c>
      <c r="H14" s="49"/>
      <c r="I14" s="49"/>
      <c r="J14" s="2"/>
      <c r="K14" s="2"/>
      <c r="L14" s="3">
        <f t="shared" si="1"/>
        <v>10</v>
      </c>
      <c r="M14" s="3">
        <f t="shared" si="0"/>
        <v>0</v>
      </c>
      <c r="N14" s="3">
        <f>SUMPRODUCT(Q14:U14,'1_Etat Initial'!$J$23:$N$23)/1000</f>
        <v>0</v>
      </c>
      <c r="O14" s="3">
        <f>AI14*'1_Etat Initial'!$D$41</f>
        <v>0</v>
      </c>
      <c r="P14" s="3" t="str">
        <f t="shared" si="2"/>
        <v>spécifique</v>
      </c>
      <c r="Q14" s="3">
        <f t="shared" si="3"/>
        <v>0</v>
      </c>
      <c r="R14" s="3">
        <f>IF(TYPE(AH14)=1,IF($H14=R$5,$AH14*'1_Etat Initial'!$C$17,0),AH14)</f>
        <v>0</v>
      </c>
      <c r="S14" s="3">
        <f>IF(TYPE(AH14)=1,IF($H14=S$5,$AH14*'1_Etat Initial'!$D$17,0),AH14)</f>
        <v>0</v>
      </c>
      <c r="T14" s="3">
        <f>IF(TYPE(AH14)=1,IF($H14=T$5,$AH14*'1_Etat Initial'!$E$17,0),AH14)</f>
        <v>0</v>
      </c>
      <c r="U14" s="3">
        <f>IF(TYPE(AH14)=1,IF($H14=U$5,$AH14*'1_Etat Initial'!$F$17,0),AH14)</f>
        <v>0</v>
      </c>
      <c r="V14" s="49"/>
      <c r="W14" s="49"/>
      <c r="X14" s="70"/>
      <c r="Y14" s="65">
        <f>SUMPRODUCT(Q14:U14,'1_Etat Initial'!$J$28:$N$28)/1000</f>
        <v>0</v>
      </c>
      <c r="AA14" s="106">
        <v>10</v>
      </c>
      <c r="AB14" s="107"/>
      <c r="AC14" s="3"/>
      <c r="AD14" s="134">
        <f>IF(AG14="spécifique", "0",AG14*'1_Etat Initial'!$B$17/F14)</f>
        <v>0</v>
      </c>
      <c r="AE14" s="49">
        <f>IF(TYPE(AH14)=1,IF($H14=R$5,$AH14*'1_Etat Initial'!$C$17,IF($H14=S$5,$AH14*'1_Etat Initial'!$D$17,IF($H14=T$5,$AH14*'1_Etat Initial'!$E$17,IF($H14=U$5,$AH14*'1_Etat Initial'!$F$17,AH14))))/F14,AH14)</f>
        <v>0.1</v>
      </c>
      <c r="AF14" s="71">
        <f>AI14*'1_Etat Initial'!$D$41</f>
        <v>0</v>
      </c>
      <c r="AG14" s="104">
        <v>0.1</v>
      </c>
      <c r="AH14" s="104">
        <v>0.1</v>
      </c>
      <c r="AI14" s="108">
        <v>0.1</v>
      </c>
    </row>
    <row r="15" spans="1:35" ht="24" customHeight="1" x14ac:dyDescent="0.2">
      <c r="A15" s="64">
        <v>9</v>
      </c>
      <c r="B15" s="48" t="s">
        <v>8</v>
      </c>
      <c r="C15" s="47" t="s">
        <v>16</v>
      </c>
      <c r="D15" s="100" t="s">
        <v>135</v>
      </c>
      <c r="E15" s="45" t="s">
        <v>158</v>
      </c>
      <c r="F15" s="105">
        <v>1</v>
      </c>
      <c r="G15" s="105" t="s">
        <v>185</v>
      </c>
      <c r="H15" s="49"/>
      <c r="I15" s="49"/>
      <c r="J15" s="2"/>
      <c r="K15" s="2"/>
      <c r="L15" s="3">
        <f t="shared" si="1"/>
        <v>0</v>
      </c>
      <c r="M15" s="3">
        <f t="shared" si="0"/>
        <v>700</v>
      </c>
      <c r="N15" s="3">
        <f>SUMPRODUCT(Q15:U15,'1_Etat Initial'!$J$23:$N$23)/1000</f>
        <v>0</v>
      </c>
      <c r="O15" s="3"/>
      <c r="P15" s="3" t="str">
        <f t="shared" si="2"/>
        <v>spécifique</v>
      </c>
      <c r="Q15" s="3">
        <f t="shared" si="3"/>
        <v>0</v>
      </c>
      <c r="R15" s="3">
        <f>IF(TYPE(AH15)=1,IF($H15=R$5,$AH15*'1_Etat Initial'!$C$17,0),AH15)</f>
        <v>0</v>
      </c>
      <c r="S15" s="3">
        <f>IF(TYPE(AH15)=1,IF($H15=S$5,$AH15*'1_Etat Initial'!$D$17,0),AH15)</f>
        <v>0</v>
      </c>
      <c r="T15" s="3">
        <f>IF(TYPE(AH15)=1,IF($H15=T$5,$AH15*'1_Etat Initial'!$E$17,0),AH15)</f>
        <v>0</v>
      </c>
      <c r="U15" s="3">
        <f>IF(TYPE(AH15)=1,IF($H15=U$5,$AH15*'1_Etat Initial'!$F$17,0),AH15)</f>
        <v>0</v>
      </c>
      <c r="V15" s="49"/>
      <c r="W15" s="49"/>
      <c r="X15" s="70"/>
      <c r="Y15" s="65">
        <f>SUMPRODUCT(Q15:U15,'1_Etat Initial'!$J$28:$N$28)/1000</f>
        <v>0</v>
      </c>
      <c r="AA15" s="106"/>
      <c r="AB15" s="107">
        <f>5/230</f>
        <v>2.1739130434782608E-2</v>
      </c>
      <c r="AC15" s="3">
        <v>30000</v>
      </c>
      <c r="AD15" s="134">
        <f>IF(AG15="spécifique", "0",AG15*'1_Etat Initial'!$B$17/F15)</f>
        <v>0</v>
      </c>
      <c r="AE15" s="49">
        <f>IF(TYPE(AH15)=1,IF($H15=R$5,$AH15*'1_Etat Initial'!$C$17,IF($H15=S$5,$AH15*'1_Etat Initial'!$D$17,IF($H15=T$5,$AH15*'1_Etat Initial'!$E$17,IF($H15=U$5,$AH15*'1_Etat Initial'!$F$17,AH15))))/F15,AH15)</f>
        <v>0</v>
      </c>
      <c r="AF15" s="71"/>
      <c r="AG15" s="109">
        <v>0.05</v>
      </c>
      <c r="AH15" s="103"/>
      <c r="AI15" s="65"/>
    </row>
    <row r="16" spans="1:35" s="129" customFormat="1" ht="24" customHeight="1" x14ac:dyDescent="0.2">
      <c r="A16" s="119">
        <v>10</v>
      </c>
      <c r="B16" s="120" t="s">
        <v>8</v>
      </c>
      <c r="C16" s="121" t="s">
        <v>20</v>
      </c>
      <c r="D16" s="122" t="s">
        <v>135</v>
      </c>
      <c r="E16" s="122" t="s">
        <v>158</v>
      </c>
      <c r="F16" s="124">
        <v>1</v>
      </c>
      <c r="G16" s="105" t="s">
        <v>185</v>
      </c>
      <c r="H16" s="49"/>
      <c r="I16" s="123"/>
      <c r="J16" s="125"/>
      <c r="K16" s="125"/>
      <c r="L16" s="126">
        <f t="shared" si="1"/>
        <v>0</v>
      </c>
      <c r="M16" s="126">
        <f t="shared" si="0"/>
        <v>0</v>
      </c>
      <c r="N16" s="126">
        <f>SUMPRODUCT(Q16:U16,'1_Etat Initial'!$J$23:$N$23)/1000</f>
        <v>0</v>
      </c>
      <c r="O16" s="126"/>
      <c r="P16" s="126" t="str">
        <f t="shared" si="2"/>
        <v>spécifique</v>
      </c>
      <c r="Q16" s="126">
        <f t="shared" si="3"/>
        <v>0</v>
      </c>
      <c r="R16" s="126">
        <f>IF(TYPE(AH16)=1,IF($H16=R$5,$AH16*'1_Etat Initial'!$C$17,0),AH16)</f>
        <v>0</v>
      </c>
      <c r="S16" s="126">
        <f>IF(TYPE(AH16)=1,IF($H16=S$5,$AH16*'1_Etat Initial'!$D$17,0),AH16)</f>
        <v>0</v>
      </c>
      <c r="T16" s="126">
        <f>IF(TYPE(AH16)=1,IF($H16=T$5,$AH16*'1_Etat Initial'!$E$17,0),AH16)</f>
        <v>0</v>
      </c>
      <c r="U16" s="126">
        <f>IF(TYPE(AH16)=1,IF($H16=U$5,$AH16*'1_Etat Initial'!$F$17,0),AH16)</f>
        <v>0</v>
      </c>
      <c r="V16" s="123"/>
      <c r="W16" s="123"/>
      <c r="X16" s="127"/>
      <c r="Y16" s="128">
        <f>SUMPRODUCT(Q16:U16,'1_Etat Initial'!$J$28:$N$28)/1000</f>
        <v>0</v>
      </c>
      <c r="AA16" s="130"/>
      <c r="AB16" s="131"/>
      <c r="AC16" s="126"/>
      <c r="AD16" s="135">
        <f>IF(AG16="spécifique", "0",AG16*'1_Etat Initial'!$B$17/F16)</f>
        <v>0</v>
      </c>
      <c r="AE16" s="123">
        <f>IF(TYPE(AH16)=1,IF($H16=R$5,$AH16*'1_Etat Initial'!$C$17,IF($H16=S$5,$AH16*'1_Etat Initial'!$D$17,IF($H16=T$5,$AH16*'1_Etat Initial'!$E$17,IF($H16=U$5,$AH16*'1_Etat Initial'!$F$17,AH16))))/F16,AH16)</f>
        <v>0</v>
      </c>
      <c r="AF16" s="132"/>
      <c r="AG16" s="123"/>
      <c r="AH16" s="127"/>
      <c r="AI16" s="128"/>
    </row>
    <row r="17" spans="1:35" s="129" customFormat="1" ht="24" customHeight="1" x14ac:dyDescent="0.2">
      <c r="A17" s="119">
        <v>11</v>
      </c>
      <c r="B17" s="120" t="s">
        <v>8</v>
      </c>
      <c r="C17" s="121" t="s">
        <v>21</v>
      </c>
      <c r="D17" s="122" t="s">
        <v>135</v>
      </c>
      <c r="E17" s="122" t="s">
        <v>158</v>
      </c>
      <c r="F17" s="124">
        <v>1</v>
      </c>
      <c r="G17" s="105" t="s">
        <v>185</v>
      </c>
      <c r="H17" s="49"/>
      <c r="I17" s="123"/>
      <c r="J17" s="125"/>
      <c r="K17" s="125"/>
      <c r="L17" s="126">
        <f t="shared" si="1"/>
        <v>0</v>
      </c>
      <c r="M17" s="126">
        <f t="shared" si="0"/>
        <v>0</v>
      </c>
      <c r="N17" s="126">
        <f>SUMPRODUCT(Q17:U17,'1_Etat Initial'!$J$23:$N$23)/1000</f>
        <v>0</v>
      </c>
      <c r="O17" s="126"/>
      <c r="P17" s="126" t="str">
        <f t="shared" si="2"/>
        <v>spécifique</v>
      </c>
      <c r="Q17" s="126">
        <f t="shared" si="3"/>
        <v>0</v>
      </c>
      <c r="R17" s="126">
        <f>IF(TYPE(AH17)=1,IF($H17=R$5,$AH17*'1_Etat Initial'!$C$17,0),AH17)</f>
        <v>0</v>
      </c>
      <c r="S17" s="126">
        <f>IF(TYPE(AH17)=1,IF($H17=S$5,$AH17*'1_Etat Initial'!$D$17,0),AH17)</f>
        <v>0</v>
      </c>
      <c r="T17" s="126">
        <f>IF(TYPE(AH17)=1,IF($H17=T$5,$AH17*'1_Etat Initial'!$E$17,0),AH17)</f>
        <v>0</v>
      </c>
      <c r="U17" s="126">
        <f>IF(TYPE(AH17)=1,IF($H17=U$5,$AH17*'1_Etat Initial'!$F$17,0),AH17)</f>
        <v>0</v>
      </c>
      <c r="V17" s="123"/>
      <c r="W17" s="123"/>
      <c r="X17" s="127"/>
      <c r="Y17" s="128">
        <f>SUMPRODUCT(Q17:U17,'1_Etat Initial'!$J$28:$N$28)/1000</f>
        <v>0</v>
      </c>
      <c r="AA17" s="130"/>
      <c r="AB17" s="131"/>
      <c r="AC17" s="126"/>
      <c r="AD17" s="135">
        <f>IF(AG17="spécifique", "0",AG17*'1_Etat Initial'!$B$17/F17)</f>
        <v>0</v>
      </c>
      <c r="AE17" s="123">
        <f>IF(TYPE(AH17)=1,IF($H17=R$5,$AH17*'1_Etat Initial'!$C$17,IF($H17=S$5,$AH17*'1_Etat Initial'!$D$17,IF($H17=T$5,$AH17*'1_Etat Initial'!$E$17,IF($H17=U$5,$AH17*'1_Etat Initial'!$F$17,AH17))))/F17,AH17)</f>
        <v>0</v>
      </c>
      <c r="AF17" s="132"/>
      <c r="AG17" s="123"/>
      <c r="AH17" s="127"/>
      <c r="AI17" s="128"/>
    </row>
    <row r="18" spans="1:35" ht="24" customHeight="1" x14ac:dyDescent="0.2">
      <c r="A18" s="64">
        <v>12</v>
      </c>
      <c r="B18" s="48" t="s">
        <v>8</v>
      </c>
      <c r="C18" s="47" t="s">
        <v>17</v>
      </c>
      <c r="D18" s="100" t="s">
        <v>135</v>
      </c>
      <c r="E18" s="45" t="s">
        <v>158</v>
      </c>
      <c r="F18" s="105">
        <v>1</v>
      </c>
      <c r="G18" s="105" t="s">
        <v>185</v>
      </c>
      <c r="H18" s="49"/>
      <c r="I18" s="49"/>
      <c r="J18" s="2"/>
      <c r="K18" s="2"/>
      <c r="L18" s="3" t="str">
        <f t="shared" si="1"/>
        <v>spécifique</v>
      </c>
      <c r="M18" s="3">
        <f t="shared" si="0"/>
        <v>0</v>
      </c>
      <c r="N18" s="3">
        <f>SUMPRODUCT(Q18:U18,'1_Etat Initial'!$J$23:$N$23)/1000</f>
        <v>0</v>
      </c>
      <c r="O18" s="3"/>
      <c r="P18" s="3" t="str">
        <f t="shared" si="2"/>
        <v>spécifique</v>
      </c>
      <c r="Q18" s="3">
        <f t="shared" si="3"/>
        <v>0</v>
      </c>
      <c r="R18" s="3">
        <f>IF(TYPE(AH18)=1,IF($H18=R$5,$AH18*'1_Etat Initial'!$C$17,0),AH18)</f>
        <v>0</v>
      </c>
      <c r="S18" s="3">
        <f>IF(TYPE(AH18)=1,IF($H18=S$5,$AH18*'1_Etat Initial'!$D$17,0),AH18)</f>
        <v>0</v>
      </c>
      <c r="T18" s="3">
        <f>IF(TYPE(AH18)=1,IF($H18=T$5,$AH18*'1_Etat Initial'!$E$17,0),AH18)</f>
        <v>0</v>
      </c>
      <c r="U18" s="3">
        <f>IF(TYPE(AH18)=1,IF($H18=U$5,$AH18*'1_Etat Initial'!$F$17,0),AH18)</f>
        <v>0</v>
      </c>
      <c r="V18" s="49"/>
      <c r="W18" s="49"/>
      <c r="X18" s="70"/>
      <c r="Y18" s="65">
        <f>SUMPRODUCT(Q18:U18,'1_Etat Initial'!$J$28:$N$28)/1000</f>
        <v>0</v>
      </c>
      <c r="AA18" s="106" t="s">
        <v>171</v>
      </c>
      <c r="AB18" s="107"/>
      <c r="AC18" s="3"/>
      <c r="AD18" s="134">
        <f>IF(AG18="spécifique", "0",AG18*'1_Etat Initial'!$B$17/F18)</f>
        <v>0</v>
      </c>
      <c r="AE18" s="49">
        <f>IF(TYPE(AH18)=1,IF($H18=R$5,$AH18*'1_Etat Initial'!$C$17,IF($H18=S$5,$AH18*'1_Etat Initial'!$D$17,IF($H18=T$5,$AH18*'1_Etat Initial'!$E$17,IF($H18=U$5,$AH18*'1_Etat Initial'!$F$17,AH18))))/F18,AH18)</f>
        <v>0</v>
      </c>
      <c r="AF18" s="71"/>
      <c r="AG18" s="104">
        <v>0.03</v>
      </c>
      <c r="AH18" s="103">
        <v>0</v>
      </c>
      <c r="AI18" s="65" t="s">
        <v>171</v>
      </c>
    </row>
    <row r="19" spans="1:35" ht="36" x14ac:dyDescent="0.2">
      <c r="A19" s="64">
        <v>13</v>
      </c>
      <c r="B19" s="48" t="s">
        <v>8</v>
      </c>
      <c r="C19" s="47" t="s">
        <v>24</v>
      </c>
      <c r="D19" s="100" t="s">
        <v>134</v>
      </c>
      <c r="E19" s="45" t="s">
        <v>158</v>
      </c>
      <c r="F19" s="49">
        <v>1</v>
      </c>
      <c r="G19" s="46" t="s">
        <v>162</v>
      </c>
      <c r="H19" s="49"/>
      <c r="I19" s="49"/>
      <c r="J19" s="2"/>
      <c r="K19" s="2"/>
      <c r="L19" s="3">
        <f t="shared" si="1"/>
        <v>6</v>
      </c>
      <c r="M19" s="3">
        <f t="shared" si="0"/>
        <v>0</v>
      </c>
      <c r="N19" s="3">
        <f>SUMPRODUCT(Q19:U19,'1_Etat Initial'!$J$23:$N$23)/1000</f>
        <v>0</v>
      </c>
      <c r="O19" s="3"/>
      <c r="P19" s="3" t="str">
        <f t="shared" si="2"/>
        <v>spécifique</v>
      </c>
      <c r="Q19" s="3">
        <f t="shared" si="3"/>
        <v>0</v>
      </c>
      <c r="R19" s="3">
        <f>IF(TYPE(AH19)=1,IF($H19=R$5,$AH19*'1_Etat Initial'!$C$17,0),AH19)</f>
        <v>0</v>
      </c>
      <c r="S19" s="3">
        <f>IF(TYPE(AH19)=1,IF($H19=S$5,$AH19*'1_Etat Initial'!$D$17,0),AH19)</f>
        <v>0</v>
      </c>
      <c r="T19" s="3">
        <f>IF(TYPE(AH19)=1,IF($H19=T$5,$AH19*'1_Etat Initial'!$E$17,0),AH19)</f>
        <v>0</v>
      </c>
      <c r="U19" s="3">
        <f>IF(TYPE(AH19)=1,IF($H19=U$5,$AH19*'1_Etat Initial'!$F$17,0),AH19)</f>
        <v>0</v>
      </c>
      <c r="V19" s="49"/>
      <c r="W19" s="49"/>
      <c r="X19" s="70"/>
      <c r="Y19" s="65">
        <f>SUMPRODUCT(Q19:U19,'1_Etat Initial'!$J$28:$N$28)/1000</f>
        <v>0</v>
      </c>
      <c r="AA19" s="106">
        <f>5*1.2</f>
        <v>6</v>
      </c>
      <c r="AB19" s="107"/>
      <c r="AC19" s="3"/>
      <c r="AD19" s="134">
        <f>IF(AG19="spécifique", "0",AG19*'1_Etat Initial'!$B$17/F19)</f>
        <v>0</v>
      </c>
      <c r="AE19" s="49">
        <f>IF(TYPE(AH19)=1,IF($H19=R$5,$AH19*'1_Etat Initial'!$C$17,IF($H19=S$5,$AH19*'1_Etat Initial'!$D$17,IF($H19=T$5,$AH19*'1_Etat Initial'!$E$17,IF($H19=U$5,$AH19*'1_Etat Initial'!$F$17,AH19))))/F19,AH19)</f>
        <v>0.08</v>
      </c>
      <c r="AF19" s="71"/>
      <c r="AG19" s="104">
        <v>-7.0000000000000007E-2</v>
      </c>
      <c r="AH19" s="103">
        <v>0.08</v>
      </c>
      <c r="AI19" s="65"/>
    </row>
    <row r="20" spans="1:35" ht="24" customHeight="1" x14ac:dyDescent="0.2">
      <c r="A20" s="64">
        <v>14</v>
      </c>
      <c r="B20" s="48" t="s">
        <v>8</v>
      </c>
      <c r="C20" s="47" t="s">
        <v>25</v>
      </c>
      <c r="D20" s="100" t="s">
        <v>135</v>
      </c>
      <c r="E20" s="45" t="s">
        <v>158</v>
      </c>
      <c r="F20" s="105">
        <v>1</v>
      </c>
      <c r="G20" s="105" t="s">
        <v>185</v>
      </c>
      <c r="H20" s="49"/>
      <c r="I20" s="49"/>
      <c r="J20" s="2"/>
      <c r="K20" s="2"/>
      <c r="L20" s="3">
        <f t="shared" si="1"/>
        <v>0</v>
      </c>
      <c r="M20" s="3">
        <f t="shared" si="0"/>
        <v>1800</v>
      </c>
      <c r="N20" s="3">
        <f>SUMPRODUCT(Q20:U20,'1_Etat Initial'!$J$23:$N$23)/1000</f>
        <v>0</v>
      </c>
      <c r="O20" s="3"/>
      <c r="P20" s="3" t="str">
        <f t="shared" si="2"/>
        <v>spécifique</v>
      </c>
      <c r="Q20" s="3">
        <f t="shared" si="3"/>
        <v>0</v>
      </c>
      <c r="R20" s="3">
        <f>IF(TYPE(AH20)=1,IF($H20=R$5,$AH20*'1_Etat Initial'!$C$17,0),AH20)</f>
        <v>0</v>
      </c>
      <c r="S20" s="3">
        <f>IF(TYPE(AH20)=1,IF($H20=S$5,$AH20*'1_Etat Initial'!$D$17,0),AH20)</f>
        <v>0</v>
      </c>
      <c r="T20" s="3">
        <f>IF(TYPE(AH20)=1,IF($H20=T$5,$AH20*'1_Etat Initial'!$E$17,0),AH20)</f>
        <v>0</v>
      </c>
      <c r="U20" s="3">
        <f>IF(TYPE(AH20)=1,IF($H20=U$5,$AH20*'1_Etat Initial'!$F$17,0),AH20)</f>
        <v>0</v>
      </c>
      <c r="V20" s="49"/>
      <c r="W20" s="49"/>
      <c r="X20" s="70"/>
      <c r="Y20" s="65">
        <f>SUMPRODUCT(Q20:U20,'1_Etat Initial'!$J$28:$N$28)/1000</f>
        <v>0</v>
      </c>
      <c r="AA20" s="106">
        <v>0</v>
      </c>
      <c r="AB20" s="107">
        <f>10/230</f>
        <v>4.3478260869565216E-2</v>
      </c>
      <c r="AC20" s="3">
        <v>40000</v>
      </c>
      <c r="AD20" s="134">
        <f>IF(AG20="spécifique", "0",AG20*'1_Etat Initial'!$B$17/F20)</f>
        <v>0</v>
      </c>
      <c r="AE20" s="49">
        <f>IF(TYPE(AH20)=1,IF($H20=R$5,$AH20*'1_Etat Initial'!$C$17,IF($H20=S$5,$AH20*'1_Etat Initial'!$D$17,IF($H20=T$5,$AH20*'1_Etat Initial'!$E$17,IF($H20=U$5,$AH20*'1_Etat Initial'!$F$17,AH20))))/F20,AH20)</f>
        <v>0</v>
      </c>
      <c r="AF20" s="71"/>
      <c r="AG20" s="104">
        <v>2.5000000000000001E-2</v>
      </c>
      <c r="AH20" s="103">
        <v>0</v>
      </c>
      <c r="AI20" s="65"/>
    </row>
    <row r="21" spans="1:35" s="129" customFormat="1" ht="24" customHeight="1" x14ac:dyDescent="0.2">
      <c r="A21" s="119">
        <v>15</v>
      </c>
      <c r="B21" s="120" t="s">
        <v>8</v>
      </c>
      <c r="C21" s="121" t="s">
        <v>147</v>
      </c>
      <c r="D21" s="122" t="s">
        <v>134</v>
      </c>
      <c r="E21" s="122" t="s">
        <v>158</v>
      </c>
      <c r="F21" s="124">
        <v>1</v>
      </c>
      <c r="G21" s="105" t="s">
        <v>185</v>
      </c>
      <c r="H21" s="49"/>
      <c r="I21" s="123"/>
      <c r="J21" s="125"/>
      <c r="K21" s="125"/>
      <c r="L21" s="126">
        <f t="shared" si="1"/>
        <v>0</v>
      </c>
      <c r="M21" s="126">
        <f t="shared" si="0"/>
        <v>0</v>
      </c>
      <c r="N21" s="126">
        <f>SUMPRODUCT(Q21:U21,'1_Etat Initial'!$J$23:$N$23)/1000</f>
        <v>0</v>
      </c>
      <c r="O21" s="126"/>
      <c r="P21" s="126" t="str">
        <f t="shared" si="2"/>
        <v>spécifique</v>
      </c>
      <c r="Q21" s="126">
        <f t="shared" si="3"/>
        <v>0</v>
      </c>
      <c r="R21" s="126">
        <f>IF(TYPE(AH21)=1,IF($H21=R$5,$AH21*'1_Etat Initial'!$C$17,0),AH21)</f>
        <v>0</v>
      </c>
      <c r="S21" s="126">
        <f>IF(TYPE(AH21)=1,IF($H21=S$5,$AH21*'1_Etat Initial'!$D$17,0),AH21)</f>
        <v>0</v>
      </c>
      <c r="T21" s="126">
        <f>IF(TYPE(AH21)=1,IF($H21=T$5,$AH21*'1_Etat Initial'!$E$17,0),AH21)</f>
        <v>0</v>
      </c>
      <c r="U21" s="126">
        <f>IF(TYPE(AH21)=1,IF($H21=U$5,$AH21*'1_Etat Initial'!$F$17,0),AH21)</f>
        <v>0</v>
      </c>
      <c r="V21" s="123"/>
      <c r="W21" s="123"/>
      <c r="X21" s="127"/>
      <c r="Y21" s="128">
        <f>SUMPRODUCT(Q21:U21,'1_Etat Initial'!$J$28:$N$28)/1000</f>
        <v>0</v>
      </c>
      <c r="AA21" s="130"/>
      <c r="AB21" s="131"/>
      <c r="AC21" s="126"/>
      <c r="AD21" s="135">
        <f>IF(AG21="spécifique", "0",AG21*'1_Etat Initial'!$B$17/F21)</f>
        <v>0</v>
      </c>
      <c r="AE21" s="123">
        <f>IF(TYPE(AH21)=1,IF($H21=R$5,$AH21*'1_Etat Initial'!$C$17,IF($H21=S$5,$AH21*'1_Etat Initial'!$D$17,IF($H21=T$5,$AH21*'1_Etat Initial'!$E$17,IF($H21=U$5,$AH21*'1_Etat Initial'!$F$17,AH21))))/F21,AH21)</f>
        <v>0</v>
      </c>
      <c r="AF21" s="132"/>
      <c r="AG21" s="123"/>
      <c r="AH21" s="127"/>
      <c r="AI21" s="128"/>
    </row>
    <row r="22" spans="1:35" ht="24" customHeight="1" x14ac:dyDescent="0.2">
      <c r="A22" s="64">
        <v>16</v>
      </c>
      <c r="B22" s="48" t="s">
        <v>3</v>
      </c>
      <c r="C22" s="47" t="s">
        <v>26</v>
      </c>
      <c r="D22" s="100" t="s">
        <v>134</v>
      </c>
      <c r="E22" s="45" t="s">
        <v>158</v>
      </c>
      <c r="F22" s="46">
        <v>1</v>
      </c>
      <c r="G22" s="105" t="s">
        <v>185</v>
      </c>
      <c r="H22" s="49"/>
      <c r="I22" s="49"/>
      <c r="J22" s="2"/>
      <c r="K22" s="2"/>
      <c r="L22" s="3" t="str">
        <f t="shared" si="1"/>
        <v>spécifique</v>
      </c>
      <c r="M22" s="3">
        <f t="shared" si="0"/>
        <v>0</v>
      </c>
      <c r="N22" s="3">
        <f>SUMPRODUCT(Q22:U22,'1_Etat Initial'!$J$23:$N$23)/1000</f>
        <v>0</v>
      </c>
      <c r="O22" s="3"/>
      <c r="P22" s="3" t="str">
        <f t="shared" si="2"/>
        <v>spécifique</v>
      </c>
      <c r="Q22" s="3">
        <f t="shared" si="3"/>
        <v>0</v>
      </c>
      <c r="R22" s="3" t="str">
        <f>IF(TYPE(AH22)=1,IF($H22=R$5,$AH22*'1_Etat Initial'!$C$17,0),AH22)</f>
        <v>spécifique</v>
      </c>
      <c r="S22" s="3" t="str">
        <f>IF(TYPE(AH22)=1,IF($H22=S$5,$AH22*'1_Etat Initial'!$D$17,0),AH22)</f>
        <v>spécifique</v>
      </c>
      <c r="T22" s="3" t="str">
        <f>IF(TYPE(AH22)=1,IF($H22=T$5,$AH22*'1_Etat Initial'!$E$17,0),AH22)</f>
        <v>spécifique</v>
      </c>
      <c r="U22" s="3" t="str">
        <f>IF(TYPE(AH22)=1,IF($H22=U$5,$AH22*'1_Etat Initial'!$F$17,0),AH22)</f>
        <v>spécifique</v>
      </c>
      <c r="V22" s="49"/>
      <c r="W22" s="49"/>
      <c r="X22" s="70"/>
      <c r="Y22" s="65">
        <f>SUMPRODUCT(Q22:U22,'1_Etat Initial'!$J$28:$N$28)/1000</f>
        <v>0</v>
      </c>
      <c r="AA22" s="106" t="s">
        <v>171</v>
      </c>
      <c r="AB22" s="107"/>
      <c r="AC22" s="3"/>
      <c r="AD22" s="134" t="str">
        <f>IF(AG22="spécifique", "0",AG22*'1_Etat Initial'!$B$17/F22)</f>
        <v>0</v>
      </c>
      <c r="AE22" s="49" t="str">
        <f>IF(TYPE(AH22)=1,IF($H22=R$5,$AH22*'1_Etat Initial'!$C$17,IF($H22=S$5,$AH22*'1_Etat Initial'!$D$17,IF($H22=T$5,$AH22*'1_Etat Initial'!$E$17,IF($H22=U$5,$AH22*'1_Etat Initial'!$F$17,AH22))))/F22,AH22)</f>
        <v>spécifique</v>
      </c>
      <c r="AF22" s="71"/>
      <c r="AG22" s="104" t="s">
        <v>171</v>
      </c>
      <c r="AH22" s="103" t="s">
        <v>171</v>
      </c>
      <c r="AI22" s="108" t="s">
        <v>171</v>
      </c>
    </row>
    <row r="23" spans="1:35" ht="24" customHeight="1" x14ac:dyDescent="0.2">
      <c r="A23" s="64">
        <v>17</v>
      </c>
      <c r="B23" s="48" t="s">
        <v>3</v>
      </c>
      <c r="C23" s="47" t="s">
        <v>148</v>
      </c>
      <c r="D23" s="100" t="s">
        <v>134</v>
      </c>
      <c r="E23" s="45" t="s">
        <v>158</v>
      </c>
      <c r="F23" s="46">
        <v>1</v>
      </c>
      <c r="G23" s="105" t="s">
        <v>185</v>
      </c>
      <c r="H23" s="49"/>
      <c r="I23" s="49"/>
      <c r="J23" s="2"/>
      <c r="K23" s="2"/>
      <c r="L23" s="3" t="str">
        <f t="shared" si="1"/>
        <v>spécifique</v>
      </c>
      <c r="M23" s="3">
        <f t="shared" si="0"/>
        <v>0</v>
      </c>
      <c r="N23" s="3">
        <f>SUMPRODUCT(Q23:U23,'1_Etat Initial'!$J$23:$N$23)/1000</f>
        <v>0</v>
      </c>
      <c r="O23" s="3"/>
      <c r="P23" s="3" t="str">
        <f t="shared" si="2"/>
        <v>spécifique</v>
      </c>
      <c r="Q23" s="3">
        <f t="shared" si="3"/>
        <v>0</v>
      </c>
      <c r="R23" s="3" t="str">
        <f>IF(TYPE(AH23)=1,IF($H23=R$5,$AH23*'1_Etat Initial'!$C$17,0),AH23)</f>
        <v>spécifique</v>
      </c>
      <c r="S23" s="3" t="str">
        <f>IF(TYPE(AH23)=1,IF($H23=S$5,$AH23*'1_Etat Initial'!$D$17,0),AH23)</f>
        <v>spécifique</v>
      </c>
      <c r="T23" s="3" t="str">
        <f>IF(TYPE(AH23)=1,IF($H23=T$5,$AH23*'1_Etat Initial'!$E$17,0),AH23)</f>
        <v>spécifique</v>
      </c>
      <c r="U23" s="3" t="str">
        <f>IF(TYPE(AH23)=1,IF($H23=U$5,$AH23*'1_Etat Initial'!$F$17,0),AH23)</f>
        <v>spécifique</v>
      </c>
      <c r="V23" s="49"/>
      <c r="W23" s="49"/>
      <c r="X23" s="70"/>
      <c r="Y23" s="65">
        <f>SUMPRODUCT(Q23:U23,'1_Etat Initial'!$J$28:$N$28)/1000</f>
        <v>0</v>
      </c>
      <c r="AA23" s="106" t="s">
        <v>171</v>
      </c>
      <c r="AB23" s="107"/>
      <c r="AC23" s="3"/>
      <c r="AD23" s="134" t="str">
        <f>IF(AG23="spécifique", "0",AG23*'1_Etat Initial'!$B$17/F23)</f>
        <v>0</v>
      </c>
      <c r="AE23" s="49" t="str">
        <f>IF(TYPE(AH23)=1,IF($H23=R$5,$AH23*'1_Etat Initial'!$C$17,IF($H23=S$5,$AH23*'1_Etat Initial'!$D$17,IF($H23=T$5,$AH23*'1_Etat Initial'!$E$17,IF($H23=U$5,$AH23*'1_Etat Initial'!$F$17,AH23))))/F23,AH23)</f>
        <v>spécifique</v>
      </c>
      <c r="AF23" s="71"/>
      <c r="AG23" s="104" t="s">
        <v>171</v>
      </c>
      <c r="AH23" s="103" t="s">
        <v>171</v>
      </c>
      <c r="AI23" s="108" t="s">
        <v>171</v>
      </c>
    </row>
    <row r="24" spans="1:35" ht="24" customHeight="1" x14ac:dyDescent="0.2">
      <c r="A24" s="64">
        <v>18</v>
      </c>
      <c r="B24" s="48" t="s">
        <v>3</v>
      </c>
      <c r="C24" s="47" t="s">
        <v>149</v>
      </c>
      <c r="D24" s="100" t="s">
        <v>134</v>
      </c>
      <c r="E24" s="45" t="s">
        <v>158</v>
      </c>
      <c r="F24" s="46">
        <v>1</v>
      </c>
      <c r="G24" s="105" t="s">
        <v>185</v>
      </c>
      <c r="H24" s="49"/>
      <c r="I24" s="49"/>
      <c r="J24" s="2"/>
      <c r="K24" s="2"/>
      <c r="L24" s="3" t="str">
        <f t="shared" si="1"/>
        <v>spécifique</v>
      </c>
      <c r="M24" s="3">
        <f t="shared" si="0"/>
        <v>0</v>
      </c>
      <c r="N24" s="3">
        <f>SUMPRODUCT(Q24:U24,'1_Etat Initial'!$J$23:$N$23)/1000</f>
        <v>0</v>
      </c>
      <c r="O24" s="3"/>
      <c r="P24" s="3" t="str">
        <f t="shared" si="2"/>
        <v>spécifique</v>
      </c>
      <c r="Q24" s="3">
        <f t="shared" si="3"/>
        <v>0</v>
      </c>
      <c r="R24" s="3" t="str">
        <f>IF(TYPE(AH24)=1,IF($H24=R$5,$AH24*'1_Etat Initial'!$C$17,0),AH24)</f>
        <v>spécifique</v>
      </c>
      <c r="S24" s="3" t="str">
        <f>IF(TYPE(AH24)=1,IF($H24=S$5,$AH24*'1_Etat Initial'!$D$17,0),AH24)</f>
        <v>spécifique</v>
      </c>
      <c r="T24" s="3" t="str">
        <f>IF(TYPE(AH24)=1,IF($H24=T$5,$AH24*'1_Etat Initial'!$E$17,0),AH24)</f>
        <v>spécifique</v>
      </c>
      <c r="U24" s="3" t="str">
        <f>IF(TYPE(AH24)=1,IF($H24=U$5,$AH24*'1_Etat Initial'!$F$17,0),AH24)</f>
        <v>spécifique</v>
      </c>
      <c r="V24" s="49"/>
      <c r="W24" s="49"/>
      <c r="X24" s="70"/>
      <c r="Y24" s="65">
        <f>SUMPRODUCT(Q24:U24,'1_Etat Initial'!$J$28:$N$28)/1000</f>
        <v>0</v>
      </c>
      <c r="AA24" s="106" t="s">
        <v>171</v>
      </c>
      <c r="AB24" s="107"/>
      <c r="AC24" s="3"/>
      <c r="AD24" s="134" t="str">
        <f>IF(AG24="spécifique", "0",AG24*'1_Etat Initial'!$B$17/F24)</f>
        <v>0</v>
      </c>
      <c r="AE24" s="49" t="str">
        <f>IF(TYPE(AH24)=1,IF($H24=R$5,$AH24*'1_Etat Initial'!$C$17,IF($H24=S$5,$AH24*'1_Etat Initial'!$D$17,IF($H24=T$5,$AH24*'1_Etat Initial'!$E$17,IF($H24=U$5,$AH24*'1_Etat Initial'!$F$17,AH24))))/F24,AH24)</f>
        <v>spécifique</v>
      </c>
      <c r="AF24" s="71"/>
      <c r="AG24" s="104" t="s">
        <v>171</v>
      </c>
      <c r="AH24" s="103" t="s">
        <v>171</v>
      </c>
      <c r="AI24" s="108"/>
    </row>
    <row r="25" spans="1:35" ht="24" customHeight="1" x14ac:dyDescent="0.2">
      <c r="A25" s="64">
        <v>19</v>
      </c>
      <c r="B25" s="48" t="s">
        <v>3</v>
      </c>
      <c r="C25" s="47" t="s">
        <v>28</v>
      </c>
      <c r="D25" s="100" t="s">
        <v>134</v>
      </c>
      <c r="E25" s="45" t="s">
        <v>158</v>
      </c>
      <c r="F25" s="46">
        <v>1</v>
      </c>
      <c r="G25" s="105" t="s">
        <v>185</v>
      </c>
      <c r="H25" s="49"/>
      <c r="I25" s="49"/>
      <c r="J25" s="2"/>
      <c r="K25" s="2"/>
      <c r="L25" s="3" t="str">
        <f t="shared" si="1"/>
        <v>spécifique</v>
      </c>
      <c r="M25" s="3">
        <f t="shared" si="0"/>
        <v>0</v>
      </c>
      <c r="N25" s="3">
        <f>SUMPRODUCT(Q25:U25,'1_Etat Initial'!$J$23:$N$23)/1000</f>
        <v>0</v>
      </c>
      <c r="O25" s="3"/>
      <c r="P25" s="3" t="str">
        <f t="shared" si="2"/>
        <v>spécifique</v>
      </c>
      <c r="Q25" s="3">
        <f t="shared" si="3"/>
        <v>0</v>
      </c>
      <c r="R25" s="3" t="str">
        <f>IF(TYPE(AH25)=1,IF($H25=R$5,$AH25*'1_Etat Initial'!$C$17,0),AH25)</f>
        <v>spécifique</v>
      </c>
      <c r="S25" s="3" t="str">
        <f>IF(TYPE(AH25)=1,IF($H25=S$5,$AH25*'1_Etat Initial'!$D$17,0),AH25)</f>
        <v>spécifique</v>
      </c>
      <c r="T25" s="3" t="str">
        <f>IF(TYPE(AH25)=1,IF($H25=T$5,$AH25*'1_Etat Initial'!$E$17,0),AH25)</f>
        <v>spécifique</v>
      </c>
      <c r="U25" s="3" t="str">
        <f>IF(TYPE(AH25)=1,IF($H25=U$5,$AH25*'1_Etat Initial'!$F$17,0),AH25)</f>
        <v>spécifique</v>
      </c>
      <c r="V25" s="49"/>
      <c r="W25" s="49"/>
      <c r="X25" s="70"/>
      <c r="Y25" s="65">
        <f>SUMPRODUCT(Q25:U25,'1_Etat Initial'!$J$28:$N$28)/1000</f>
        <v>0</v>
      </c>
      <c r="AA25" s="106" t="s">
        <v>171</v>
      </c>
      <c r="AB25" s="107"/>
      <c r="AC25" s="3"/>
      <c r="AD25" s="134" t="str">
        <f>IF(AG25="spécifique", "0",AG25*'1_Etat Initial'!$B$17/F25)</f>
        <v>0</v>
      </c>
      <c r="AE25" s="49" t="str">
        <f>IF(TYPE(AH25)=1,IF($H25=R$5,$AH25*'1_Etat Initial'!$C$17,IF($H25=S$5,$AH25*'1_Etat Initial'!$D$17,IF($H25=T$5,$AH25*'1_Etat Initial'!$E$17,IF($H25=U$5,$AH25*'1_Etat Initial'!$F$17,AH25))))/F25,AH25)</f>
        <v>spécifique</v>
      </c>
      <c r="AF25" s="71"/>
      <c r="AG25" s="104" t="s">
        <v>171</v>
      </c>
      <c r="AH25" s="103" t="s">
        <v>171</v>
      </c>
      <c r="AI25" s="108" t="s">
        <v>171</v>
      </c>
    </row>
    <row r="26" spans="1:35" ht="24" customHeight="1" x14ac:dyDescent="0.2">
      <c r="A26" s="64">
        <v>20</v>
      </c>
      <c r="B26" s="48" t="s">
        <v>3</v>
      </c>
      <c r="C26" s="47" t="s">
        <v>29</v>
      </c>
      <c r="D26" s="100" t="s">
        <v>134</v>
      </c>
      <c r="E26" s="45" t="s">
        <v>158</v>
      </c>
      <c r="F26" s="46">
        <v>1</v>
      </c>
      <c r="G26" s="105" t="s">
        <v>185</v>
      </c>
      <c r="H26" s="49"/>
      <c r="I26" s="49"/>
      <c r="J26" s="2"/>
      <c r="K26" s="2"/>
      <c r="L26" s="3" t="str">
        <f t="shared" si="1"/>
        <v>spécifique</v>
      </c>
      <c r="M26" s="3">
        <f t="shared" si="0"/>
        <v>0</v>
      </c>
      <c r="N26" s="3">
        <f>SUMPRODUCT(Q26:U26,'1_Etat Initial'!$J$23:$N$23)/1000</f>
        <v>0</v>
      </c>
      <c r="O26" s="3"/>
      <c r="P26" s="3" t="str">
        <f t="shared" si="2"/>
        <v>spécifique</v>
      </c>
      <c r="Q26" s="3">
        <f t="shared" si="3"/>
        <v>0</v>
      </c>
      <c r="R26" s="3">
        <f>IF(TYPE(AH26)=1,IF($H26=R$5,$AH26*'1_Etat Initial'!$C$17,0),AH26)</f>
        <v>0</v>
      </c>
      <c r="S26" s="3">
        <f>IF(TYPE(AH26)=1,IF($H26=S$5,$AH26*'1_Etat Initial'!$D$17,0),AH26)</f>
        <v>0</v>
      </c>
      <c r="T26" s="3">
        <f>IF(TYPE(AH26)=1,IF($H26=T$5,$AH26*'1_Etat Initial'!$E$17,0),AH26)</f>
        <v>0</v>
      </c>
      <c r="U26" s="3">
        <f>IF(TYPE(AH26)=1,IF($H26=U$5,$AH26*'1_Etat Initial'!$F$17,0),AH26)</f>
        <v>0</v>
      </c>
      <c r="V26" s="49"/>
      <c r="W26" s="49"/>
      <c r="X26" s="70"/>
      <c r="Y26" s="65">
        <f>SUMPRODUCT(Q26:U26,'1_Etat Initial'!$J$28:$N$28)/1000</f>
        <v>0</v>
      </c>
      <c r="AA26" s="106" t="s">
        <v>171</v>
      </c>
      <c r="AB26" s="107"/>
      <c r="AC26" s="3"/>
      <c r="AD26" s="134" t="str">
        <f>IF(AG26="spécifique", "0",AG26*'1_Etat Initial'!$B$17/F26)</f>
        <v>0</v>
      </c>
      <c r="AE26" s="49">
        <f>IF(TYPE(AH26)=1,IF($H26=R$5,$AH26*'1_Etat Initial'!$C$17,IF($H26=S$5,$AH26*'1_Etat Initial'!$D$17,IF($H26=T$5,$AH26*'1_Etat Initial'!$E$17,IF($H26=U$5,$AH26*'1_Etat Initial'!$F$17,AH26))))/F26,AH26)</f>
        <v>0</v>
      </c>
      <c r="AF26" s="71"/>
      <c r="AG26" s="104" t="s">
        <v>171</v>
      </c>
      <c r="AH26" s="103"/>
      <c r="AI26" s="108"/>
    </row>
    <row r="27" spans="1:35" ht="24" customHeight="1" x14ac:dyDescent="0.2">
      <c r="A27" s="64">
        <v>21</v>
      </c>
      <c r="B27" s="48" t="s">
        <v>3</v>
      </c>
      <c r="C27" s="47" t="s">
        <v>18</v>
      </c>
      <c r="D27" s="100" t="s">
        <v>134</v>
      </c>
      <c r="E27" s="45" t="s">
        <v>158</v>
      </c>
      <c r="F27" s="46">
        <v>1</v>
      </c>
      <c r="G27" s="105" t="s">
        <v>185</v>
      </c>
      <c r="H27" s="49"/>
      <c r="I27" s="49"/>
      <c r="J27" s="2"/>
      <c r="K27" s="2"/>
      <c r="L27" s="3">
        <f t="shared" si="1"/>
        <v>0</v>
      </c>
      <c r="M27" s="3">
        <f t="shared" si="0"/>
        <v>4000</v>
      </c>
      <c r="N27" s="3">
        <f>SUMPRODUCT(Q27:U27,'1_Etat Initial'!$J$23:$N$23)/1000</f>
        <v>0</v>
      </c>
      <c r="O27" s="3"/>
      <c r="P27" s="3" t="str">
        <f t="shared" si="2"/>
        <v>spécifique</v>
      </c>
      <c r="Q27" s="3">
        <f t="shared" si="3"/>
        <v>0</v>
      </c>
      <c r="R27" s="3" t="str">
        <f>IF(TYPE(AH27)=1,IF($H27=R$5,$AH27*'1_Etat Initial'!$C$17,0),AH27)</f>
        <v>spécifique</v>
      </c>
      <c r="S27" s="3" t="str">
        <f>IF(TYPE(AH27)=1,IF($H27=S$5,$AH27*'1_Etat Initial'!$D$17,0),AH27)</f>
        <v>spécifique</v>
      </c>
      <c r="T27" s="3" t="str">
        <f>IF(TYPE(AH27)=1,IF($H27=T$5,$AH27*'1_Etat Initial'!$E$17,0),AH27)</f>
        <v>spécifique</v>
      </c>
      <c r="U27" s="3" t="str">
        <f>IF(TYPE(AH27)=1,IF($H27=U$5,$AH27*'1_Etat Initial'!$F$17,0),AH27)</f>
        <v>spécifique</v>
      </c>
      <c r="V27" s="49"/>
      <c r="W27" s="49"/>
      <c r="X27" s="70"/>
      <c r="Y27" s="65">
        <f>SUMPRODUCT(Q27:U27,'1_Etat Initial'!$J$28:$N$28)/1000</f>
        <v>0</v>
      </c>
      <c r="AA27" s="106"/>
      <c r="AB27" s="107">
        <v>0.1</v>
      </c>
      <c r="AC27" s="3">
        <v>40000</v>
      </c>
      <c r="AD27" s="134" t="str">
        <f>IF(AG27="spécifique", "0",AG27*'1_Etat Initial'!$B$17/F27)</f>
        <v>0</v>
      </c>
      <c r="AE27" s="49" t="str">
        <f>IF(TYPE(AH27)=1,IF($H27=R$5,$AH27*'1_Etat Initial'!$C$17,IF($H27=S$5,$AH27*'1_Etat Initial'!$D$17,IF($H27=T$5,$AH27*'1_Etat Initial'!$E$17,IF($H27=U$5,$AH27*'1_Etat Initial'!$F$17,AH27))))/F27,AH27)</f>
        <v>spécifique</v>
      </c>
      <c r="AF27" s="71"/>
      <c r="AG27" s="104" t="s">
        <v>171</v>
      </c>
      <c r="AH27" s="103" t="s">
        <v>171</v>
      </c>
      <c r="AI27" s="108" t="s">
        <v>171</v>
      </c>
    </row>
    <row r="28" spans="1:35" ht="24" customHeight="1" x14ac:dyDescent="0.2">
      <c r="A28" s="64">
        <v>22</v>
      </c>
      <c r="B28" s="48" t="s">
        <v>9</v>
      </c>
      <c r="C28" s="47" t="s">
        <v>0</v>
      </c>
      <c r="D28" s="100" t="s">
        <v>135</v>
      </c>
      <c r="E28" s="45" t="s">
        <v>158</v>
      </c>
      <c r="F28" s="46">
        <v>1</v>
      </c>
      <c r="G28" s="105" t="s">
        <v>185</v>
      </c>
      <c r="H28" s="49"/>
      <c r="I28" s="49"/>
      <c r="J28" s="2"/>
      <c r="K28" s="2"/>
      <c r="L28" s="3">
        <f t="shared" si="1"/>
        <v>20000</v>
      </c>
      <c r="M28" s="3">
        <f t="shared" si="0"/>
        <v>0</v>
      </c>
      <c r="N28" s="3">
        <f>SUMPRODUCT(Q28:U28,'1_Etat Initial'!$J$23:$N$23)/1000</f>
        <v>0</v>
      </c>
      <c r="O28" s="3">
        <f>AI28*'1_Etat Initial'!$D$41</f>
        <v>0</v>
      </c>
      <c r="P28" s="3" t="str">
        <f t="shared" si="2"/>
        <v>spécifique</v>
      </c>
      <c r="Q28" s="3">
        <f t="shared" si="3"/>
        <v>0</v>
      </c>
      <c r="R28" s="3">
        <f>IF(TYPE(AH28)=1,IF($H28=R$5,$AH28*'1_Etat Initial'!$C$17,0),AH28)</f>
        <v>0</v>
      </c>
      <c r="S28" s="3">
        <f>IF(TYPE(AH28)=1,IF($H28=S$5,$AH28*'1_Etat Initial'!$D$17,0),AH28)</f>
        <v>0</v>
      </c>
      <c r="T28" s="3">
        <f>IF(TYPE(AH28)=1,IF($H28=T$5,$AH28*'1_Etat Initial'!$E$17,0),AH28)</f>
        <v>0</v>
      </c>
      <c r="U28" s="3">
        <f>IF(TYPE(AH28)=1,IF($H28=U$5,$AH28*'1_Etat Initial'!$F$17,0),AH28)</f>
        <v>0</v>
      </c>
      <c r="V28" s="49"/>
      <c r="W28" s="49"/>
      <c r="X28" s="70"/>
      <c r="Y28" s="65">
        <f>SUMPRODUCT(Q28:U28,'1_Etat Initial'!$J$28:$N$28)/1000</f>
        <v>0</v>
      </c>
      <c r="AA28" s="106">
        <v>20000</v>
      </c>
      <c r="AB28" s="107"/>
      <c r="AC28" s="3"/>
      <c r="AD28" s="134">
        <f>IF(AG28="spécifique", "0",AG28*'1_Etat Initial'!$B$17/F28)</f>
        <v>0</v>
      </c>
      <c r="AE28" s="49">
        <f>IF(TYPE(AH28)=1,IF($H28=R$5,$AH28*'1_Etat Initial'!$C$17,IF($H28=S$5,$AH28*'1_Etat Initial'!$D$17,IF($H28=T$5,$AH28*'1_Etat Initial'!$E$17,IF($H28=U$5,$AH28*'1_Etat Initial'!$F$17,AH28))))/F28,AH28)</f>
        <v>0.15</v>
      </c>
      <c r="AF28" s="71">
        <f>AI28*'1_Etat Initial'!$D$41</f>
        <v>0</v>
      </c>
      <c r="AG28" s="104">
        <v>0.15</v>
      </c>
      <c r="AH28" s="103">
        <v>0.15</v>
      </c>
      <c r="AI28" s="108">
        <v>0.15</v>
      </c>
    </row>
    <row r="29" spans="1:35" ht="24" customHeight="1" x14ac:dyDescent="0.2">
      <c r="A29" s="64">
        <v>23</v>
      </c>
      <c r="B29" s="48" t="s">
        <v>9</v>
      </c>
      <c r="C29" s="47" t="s">
        <v>140</v>
      </c>
      <c r="D29" s="100" t="s">
        <v>135</v>
      </c>
      <c r="E29" s="45" t="s">
        <v>158</v>
      </c>
      <c r="F29" s="46">
        <v>1</v>
      </c>
      <c r="G29" s="105" t="s">
        <v>185</v>
      </c>
      <c r="H29" s="49"/>
      <c r="I29" s="49"/>
      <c r="J29" s="2"/>
      <c r="K29" s="2"/>
      <c r="L29" s="3">
        <f t="shared" si="1"/>
        <v>0</v>
      </c>
      <c r="M29" s="3">
        <f t="shared" si="0"/>
        <v>4000</v>
      </c>
      <c r="N29" s="3">
        <f>SUMPRODUCT(Q29:U29,'1_Etat Initial'!$J$23:$N$23)/1000</f>
        <v>0</v>
      </c>
      <c r="O29" s="3"/>
      <c r="P29" s="3" t="str">
        <f t="shared" si="2"/>
        <v>spécifique</v>
      </c>
      <c r="Q29" s="3">
        <f t="shared" si="3"/>
        <v>0</v>
      </c>
      <c r="R29" s="3">
        <f>IF(TYPE(AH29)=1,IF($H29=R$5,$AH29*'1_Etat Initial'!$C$17,0),AH29)</f>
        <v>0</v>
      </c>
      <c r="S29" s="3">
        <f>IF(TYPE(AH29)=1,IF($H29=S$5,$AH29*'1_Etat Initial'!$D$17,0),AH29)</f>
        <v>0</v>
      </c>
      <c r="T29" s="3">
        <f>IF(TYPE(AH29)=1,IF($H29=T$5,$AH29*'1_Etat Initial'!$E$17,0),AH29)</f>
        <v>0</v>
      </c>
      <c r="U29" s="3">
        <f>IF(TYPE(AH29)=1,IF($H29=U$5,$AH29*'1_Etat Initial'!$F$17,0),AH29)</f>
        <v>0</v>
      </c>
      <c r="V29" s="49"/>
      <c r="W29" s="49"/>
      <c r="X29" s="70"/>
      <c r="Y29" s="65">
        <f>SUMPRODUCT(Q29:U29,'1_Etat Initial'!$J$28:$N$28)/1000</f>
        <v>0</v>
      </c>
      <c r="AA29" s="106"/>
      <c r="AB29" s="107">
        <v>0.1</v>
      </c>
      <c r="AC29" s="3">
        <v>40000</v>
      </c>
      <c r="AD29" s="134">
        <f>IF(AG29="spécifique", "0",AG29*'1_Etat Initial'!$B$17/F29)</f>
        <v>0</v>
      </c>
      <c r="AE29" s="49">
        <f>IF(TYPE(AH29)=1,IF($H29=R$5,$AH29*'1_Etat Initial'!$C$17,IF($H29=S$5,$AH29*'1_Etat Initial'!$D$17,IF($H29=T$5,$AH29*'1_Etat Initial'!$E$17,IF($H29=U$5,$AH29*'1_Etat Initial'!$F$17,AH29))))/F29,AH29)</f>
        <v>0</v>
      </c>
      <c r="AF29" s="71"/>
      <c r="AG29" s="104"/>
      <c r="AH29" s="103"/>
      <c r="AI29" s="108"/>
    </row>
    <row r="30" spans="1:35" ht="24" customHeight="1" x14ac:dyDescent="0.2">
      <c r="A30" s="64">
        <v>24</v>
      </c>
      <c r="B30" s="48" t="s">
        <v>9</v>
      </c>
      <c r="C30" s="47" t="s">
        <v>159</v>
      </c>
      <c r="D30" s="100" t="s">
        <v>135</v>
      </c>
      <c r="E30" s="45" t="s">
        <v>158</v>
      </c>
      <c r="F30" s="46">
        <v>1</v>
      </c>
      <c r="G30" s="105" t="s">
        <v>185</v>
      </c>
      <c r="H30" s="49"/>
      <c r="I30" s="49"/>
      <c r="J30" s="2"/>
      <c r="K30" s="2"/>
      <c r="L30" s="3" t="str">
        <f t="shared" si="1"/>
        <v>spécifique</v>
      </c>
      <c r="M30" s="3">
        <f t="shared" si="0"/>
        <v>0</v>
      </c>
      <c r="N30" s="3">
        <f>SUMPRODUCT(Q30:U30,'1_Etat Initial'!$J$23:$N$23)/1000</f>
        <v>0</v>
      </c>
      <c r="O30" s="3">
        <f>AI30*'1_Etat Initial'!$D$41</f>
        <v>0</v>
      </c>
      <c r="P30" s="3" t="str">
        <f t="shared" si="2"/>
        <v>spécifique</v>
      </c>
      <c r="Q30" s="3">
        <f t="shared" si="3"/>
        <v>0</v>
      </c>
      <c r="R30" s="3">
        <f>IF(TYPE(AH30)=1,IF($H30=R$5,$AH30*'1_Etat Initial'!$C$17,0),AH30)</f>
        <v>0</v>
      </c>
      <c r="S30" s="3">
        <f>IF(TYPE(AH30)=1,IF($H30=S$5,$AH30*'1_Etat Initial'!$D$17,0),AH30)</f>
        <v>0</v>
      </c>
      <c r="T30" s="3">
        <f>IF(TYPE(AH30)=1,IF($H30=T$5,$AH30*'1_Etat Initial'!$E$17,0),AH30)</f>
        <v>0</v>
      </c>
      <c r="U30" s="3">
        <f>IF(TYPE(AH30)=1,IF($H30=U$5,$AH30*'1_Etat Initial'!$F$17,0),AH30)</f>
        <v>0</v>
      </c>
      <c r="V30" s="49"/>
      <c r="W30" s="49"/>
      <c r="X30" s="70"/>
      <c r="Y30" s="65">
        <f>SUMPRODUCT(Q30:U30,'1_Etat Initial'!$J$28:$N$28)/1000</f>
        <v>0</v>
      </c>
      <c r="AA30" s="106" t="s">
        <v>171</v>
      </c>
      <c r="AB30" s="107"/>
      <c r="AC30" s="3"/>
      <c r="AD30" s="134">
        <f>IF(AG30="spécifique", "0",AG30*'1_Etat Initial'!$B$17/F30)</f>
        <v>0</v>
      </c>
      <c r="AE30" s="49">
        <f>IF(TYPE(AH30)=1,IF($H30=R$5,$AH30*'1_Etat Initial'!$C$17,IF($H30=S$5,$AH30*'1_Etat Initial'!$D$17,IF($H30=T$5,$AH30*'1_Etat Initial'!$E$17,IF($H30=U$5,$AH30*'1_Etat Initial'!$F$17,AH30))))/F30,AH30)</f>
        <v>0.15</v>
      </c>
      <c r="AF30" s="71">
        <f>AI30*'1_Etat Initial'!$D$41</f>
        <v>0</v>
      </c>
      <c r="AG30" s="104">
        <v>0.15</v>
      </c>
      <c r="AH30" s="103">
        <v>0.15</v>
      </c>
      <c r="AI30" s="108">
        <v>0.1</v>
      </c>
    </row>
    <row r="31" spans="1:35" ht="24" customHeight="1" x14ac:dyDescent="0.2">
      <c r="A31" s="64">
        <v>25</v>
      </c>
      <c r="B31" s="48" t="s">
        <v>9</v>
      </c>
      <c r="C31" s="47" t="s">
        <v>139</v>
      </c>
      <c r="D31" s="100" t="s">
        <v>135</v>
      </c>
      <c r="E31" s="45" t="s">
        <v>158</v>
      </c>
      <c r="F31" s="46">
        <v>1</v>
      </c>
      <c r="G31" s="105" t="s">
        <v>185</v>
      </c>
      <c r="H31" s="49"/>
      <c r="I31" s="49"/>
      <c r="J31" s="2"/>
      <c r="K31" s="2"/>
      <c r="L31" s="3">
        <f t="shared" si="1"/>
        <v>0</v>
      </c>
      <c r="M31" s="3">
        <f t="shared" si="0"/>
        <v>1800</v>
      </c>
      <c r="N31" s="3">
        <f>SUMPRODUCT(Q31:U31,'1_Etat Initial'!$J$23:$N$23)/1000</f>
        <v>0</v>
      </c>
      <c r="O31" s="3"/>
      <c r="P31" s="3" t="str">
        <f t="shared" si="2"/>
        <v>spécifique</v>
      </c>
      <c r="Q31" s="3">
        <f t="shared" si="3"/>
        <v>0</v>
      </c>
      <c r="R31" s="3">
        <f>IF(TYPE(AH31)=1,IF($H31=R$5,$AH31*'1_Etat Initial'!$C$17,0),AH31)</f>
        <v>0</v>
      </c>
      <c r="S31" s="3">
        <f>IF(TYPE(AH31)=1,IF($H31=S$5,$AH31*'1_Etat Initial'!$D$17,0),AH31)</f>
        <v>0</v>
      </c>
      <c r="T31" s="3">
        <f>IF(TYPE(AH31)=1,IF($H31=T$5,$AH31*'1_Etat Initial'!$E$17,0),AH31)</f>
        <v>0</v>
      </c>
      <c r="U31" s="3">
        <f>IF(TYPE(AH31)=1,IF($H31=U$5,$AH31*'1_Etat Initial'!$F$17,0),AH31)</f>
        <v>0</v>
      </c>
      <c r="V31" s="49"/>
      <c r="W31" s="49"/>
      <c r="X31" s="70"/>
      <c r="Y31" s="65">
        <f>SUMPRODUCT(Q31:U31,'1_Etat Initial'!$J$28:$N$28)/1000</f>
        <v>0</v>
      </c>
      <c r="AA31" s="106"/>
      <c r="AB31" s="107">
        <f>10/230</f>
        <v>4.3478260869565216E-2</v>
      </c>
      <c r="AC31" s="3">
        <v>40000</v>
      </c>
      <c r="AD31" s="134">
        <f>IF(AG31="spécifique", "0",AG31*'1_Etat Initial'!$B$17/F31)</f>
        <v>0</v>
      </c>
      <c r="AE31" s="49">
        <f>IF(TYPE(AH31)=1,IF($H31=R$5,$AH31*'1_Etat Initial'!$C$17,IF($H31=S$5,$AH31*'1_Etat Initial'!$D$17,IF($H31=T$5,$AH31*'1_Etat Initial'!$E$17,IF($H31=U$5,$AH31*'1_Etat Initial'!$F$17,AH31))))/F31,AH31)</f>
        <v>0.1</v>
      </c>
      <c r="AF31" s="71"/>
      <c r="AG31" s="104">
        <v>0.1</v>
      </c>
      <c r="AH31" s="103">
        <v>0.1</v>
      </c>
      <c r="AI31" s="108"/>
    </row>
    <row r="32" spans="1:35" ht="24" customHeight="1" x14ac:dyDescent="0.2">
      <c r="A32" s="64">
        <v>26</v>
      </c>
      <c r="B32" s="48" t="s">
        <v>9</v>
      </c>
      <c r="C32" s="47" t="s">
        <v>138</v>
      </c>
      <c r="D32" s="100" t="s">
        <v>135</v>
      </c>
      <c r="E32" s="45" t="s">
        <v>157</v>
      </c>
      <c r="F32" s="49">
        <v>1</v>
      </c>
      <c r="G32" s="46" t="s">
        <v>164</v>
      </c>
      <c r="H32" s="49"/>
      <c r="I32" s="49"/>
      <c r="J32" s="2"/>
      <c r="K32" s="2"/>
      <c r="L32" s="3">
        <f t="shared" si="1"/>
        <v>15</v>
      </c>
      <c r="M32" s="3">
        <f t="shared" si="0"/>
        <v>0</v>
      </c>
      <c r="N32" s="3">
        <f>SUMPRODUCT(Q32:U32,'1_Etat Initial'!$J$23:$N$23)/1000</f>
        <v>0</v>
      </c>
      <c r="O32" s="3">
        <f>AI32*'1_Etat Initial'!$D$41</f>
        <v>0</v>
      </c>
      <c r="P32" s="3" t="str">
        <f t="shared" si="2"/>
        <v>spécifique</v>
      </c>
      <c r="Q32" s="3">
        <f t="shared" si="3"/>
        <v>0</v>
      </c>
      <c r="R32" s="3">
        <f>IF(TYPE(AH32)=1,IF($H32=R$5,$AH32*'1_Etat Initial'!$C$17,0),AH32)</f>
        <v>0</v>
      </c>
      <c r="S32" s="3">
        <f>IF(TYPE(AH32)=1,IF($H32=S$5,$AH32*'1_Etat Initial'!$D$17,0),AH32)</f>
        <v>0</v>
      </c>
      <c r="T32" s="3">
        <f>IF(TYPE(AH32)=1,IF($H32=T$5,$AH32*'1_Etat Initial'!$E$17,0),AH32)</f>
        <v>0</v>
      </c>
      <c r="U32" s="3">
        <f>IF(TYPE(AH32)=1,IF($H32=U$5,$AH32*'1_Etat Initial'!$F$17,0),AH32)</f>
        <v>0</v>
      </c>
      <c r="V32" s="49"/>
      <c r="W32" s="49"/>
      <c r="X32" s="70"/>
      <c r="Y32" s="65">
        <f>SUMPRODUCT(Q32:U32,'1_Etat Initial'!$J$28:$N$28)/1000</f>
        <v>0</v>
      </c>
      <c r="AA32" s="106">
        <v>15</v>
      </c>
      <c r="AB32" s="107"/>
      <c r="AC32" s="3"/>
      <c r="AD32" s="134">
        <f>IF(AG32="spécifique", "0",AG32*'1_Etat Initial'!$B$17/F32)</f>
        <v>0</v>
      </c>
      <c r="AE32" s="49">
        <f>IF(TYPE(AH32)=1,IF($H32=R$5,$AH32*'1_Etat Initial'!$C$17,IF($H32=S$5,$AH32*'1_Etat Initial'!$D$17,IF($H32=T$5,$AH32*'1_Etat Initial'!$E$17,IF($H32=U$5,$AH32*'1_Etat Initial'!$F$17,AH32))))/F32,AH32)</f>
        <v>0.1</v>
      </c>
      <c r="AF32" s="71">
        <f>AI32*'1_Etat Initial'!$D$41</f>
        <v>0</v>
      </c>
      <c r="AG32" s="104">
        <v>0.1</v>
      </c>
      <c r="AH32" s="103">
        <v>0.1</v>
      </c>
      <c r="AI32" s="108">
        <v>0.1</v>
      </c>
    </row>
    <row r="33" spans="1:35" ht="24" customHeight="1" x14ac:dyDescent="0.2">
      <c r="A33" s="64">
        <v>27</v>
      </c>
      <c r="B33" s="48" t="s">
        <v>9</v>
      </c>
      <c r="C33" s="47" t="s">
        <v>151</v>
      </c>
      <c r="D33" s="100" t="s">
        <v>134</v>
      </c>
      <c r="E33" s="45" t="s">
        <v>158</v>
      </c>
      <c r="F33" s="46">
        <v>1</v>
      </c>
      <c r="G33" s="105" t="s">
        <v>185</v>
      </c>
      <c r="H33" s="49"/>
      <c r="I33" s="49"/>
      <c r="J33" s="2"/>
      <c r="K33" s="2"/>
      <c r="L33" s="3" t="str">
        <f t="shared" si="1"/>
        <v>spécifique</v>
      </c>
      <c r="M33" s="3">
        <f t="shared" si="0"/>
        <v>0</v>
      </c>
      <c r="N33" s="3">
        <f>SUMPRODUCT(Q33:U33,'1_Etat Initial'!$J$23:$N$23)/1000</f>
        <v>0</v>
      </c>
      <c r="O33" s="3"/>
      <c r="P33" s="3" t="str">
        <f t="shared" si="2"/>
        <v>spécifique</v>
      </c>
      <c r="Q33" s="3">
        <f t="shared" si="3"/>
        <v>0</v>
      </c>
      <c r="R33" s="3">
        <f>IF(TYPE(AH33)=1,IF($H33=R$5,$AH33*'1_Etat Initial'!$C$17,0),AH33)</f>
        <v>0</v>
      </c>
      <c r="S33" s="3">
        <f>IF(TYPE(AH33)=1,IF($H33=S$5,$AH33*'1_Etat Initial'!$D$17,0),AH33)</f>
        <v>0</v>
      </c>
      <c r="T33" s="3">
        <f>IF(TYPE(AH33)=1,IF($H33=T$5,$AH33*'1_Etat Initial'!$E$17,0),AH33)</f>
        <v>0</v>
      </c>
      <c r="U33" s="3">
        <f>IF(TYPE(AH33)=1,IF($H33=U$5,$AH33*'1_Etat Initial'!$F$17,0),AH33)</f>
        <v>0</v>
      </c>
      <c r="V33" s="49"/>
      <c r="W33" s="49"/>
      <c r="X33" s="70"/>
      <c r="Y33" s="65">
        <f>SUMPRODUCT(Q33:U33,'1_Etat Initial'!$J$28:$N$28)/1000</f>
        <v>0</v>
      </c>
      <c r="AA33" s="106" t="s">
        <v>171</v>
      </c>
      <c r="AB33" s="107"/>
      <c r="AC33" s="3"/>
      <c r="AD33" s="134">
        <f>IF(AG33="spécifique", "0",AG33*'1_Etat Initial'!$B$17/F33)</f>
        <v>0</v>
      </c>
      <c r="AE33" s="49">
        <f>IF(TYPE(AH33)=1,IF($H33=R$5,$AH33*'1_Etat Initial'!$C$17,IF($H33=S$5,$AH33*'1_Etat Initial'!$D$17,IF($H33=T$5,$AH33*'1_Etat Initial'!$E$17,IF($H33=U$5,$AH33*'1_Etat Initial'!$F$17,AH33))))/F33,AH33)</f>
        <v>0.2</v>
      </c>
      <c r="AF33" s="71"/>
      <c r="AG33" s="104">
        <v>0.1</v>
      </c>
      <c r="AH33" s="103">
        <v>0.2</v>
      </c>
      <c r="AI33" s="108"/>
    </row>
    <row r="34" spans="1:35" ht="24" customHeight="1" x14ac:dyDescent="0.2">
      <c r="A34" s="64">
        <v>28</v>
      </c>
      <c r="B34" s="48" t="s">
        <v>9</v>
      </c>
      <c r="C34" s="47" t="s">
        <v>19</v>
      </c>
      <c r="D34" s="100" t="s">
        <v>135</v>
      </c>
      <c r="E34" s="45" t="s">
        <v>157</v>
      </c>
      <c r="F34" s="49">
        <v>1</v>
      </c>
      <c r="G34" s="46" t="s">
        <v>165</v>
      </c>
      <c r="H34" s="49"/>
      <c r="I34" s="49"/>
      <c r="J34" s="2"/>
      <c r="K34" s="2"/>
      <c r="L34" s="3">
        <f t="shared" si="1"/>
        <v>3500</v>
      </c>
      <c r="M34" s="3">
        <f t="shared" si="0"/>
        <v>8000</v>
      </c>
      <c r="N34" s="3">
        <f>SUMPRODUCT(Q34:U34,'1_Etat Initial'!$J$23:$N$23)/1000</f>
        <v>0</v>
      </c>
      <c r="O34" s="3">
        <f>AI34*'1_Etat Initial'!$D$41</f>
        <v>0</v>
      </c>
      <c r="P34" s="3" t="str">
        <f t="shared" si="2"/>
        <v>spécifique</v>
      </c>
      <c r="Q34" s="3">
        <f t="shared" si="3"/>
        <v>0</v>
      </c>
      <c r="R34" s="3">
        <f>IF(TYPE(AH34)=1,IF($H34=R$5,$AH34*'1_Etat Initial'!$C$17,0),AH34)</f>
        <v>0</v>
      </c>
      <c r="S34" s="3">
        <f>IF(TYPE(AH34)=1,IF($H34=S$5,$AH34*'1_Etat Initial'!$D$17,0),AH34)</f>
        <v>0</v>
      </c>
      <c r="T34" s="3">
        <f>IF(TYPE(AH34)=1,IF($H34=T$5,$AH34*'1_Etat Initial'!$E$17,0),AH34)</f>
        <v>0</v>
      </c>
      <c r="U34" s="3">
        <f>IF(TYPE(AH34)=1,IF($H34=U$5,$AH34*'1_Etat Initial'!$F$17,0),AH34)</f>
        <v>0</v>
      </c>
      <c r="V34" s="49"/>
      <c r="W34" s="49"/>
      <c r="X34" s="70"/>
      <c r="Y34" s="65">
        <f>SUMPRODUCT(Q34:U34,'1_Etat Initial'!$J$28:$N$28)/1000</f>
        <v>0</v>
      </c>
      <c r="AA34" s="106">
        <v>3500</v>
      </c>
      <c r="AB34" s="107">
        <f>0.2</f>
        <v>0.2</v>
      </c>
      <c r="AC34" s="3">
        <v>40000</v>
      </c>
      <c r="AD34" s="134">
        <f>IF(AG34="spécifique", "0",AG34*'1_Etat Initial'!$B$17/F34)</f>
        <v>0</v>
      </c>
      <c r="AE34" s="49">
        <f>IF(TYPE(AH34)=1,IF($H34=R$5,$AH34*'1_Etat Initial'!$C$17,IF($H34=S$5,$AH34*'1_Etat Initial'!$D$17,IF($H34=T$5,$AH34*'1_Etat Initial'!$E$17,IF($H34=U$5,$AH34*'1_Etat Initial'!$F$17,AH34))))/F34,AH34)</f>
        <v>0.03</v>
      </c>
      <c r="AF34" s="71">
        <f>AI34*'1_Etat Initial'!$D$41</f>
        <v>0</v>
      </c>
      <c r="AG34" s="104">
        <v>0.03</v>
      </c>
      <c r="AH34" s="103">
        <v>0.03</v>
      </c>
      <c r="AI34" s="108">
        <v>0.03</v>
      </c>
    </row>
    <row r="35" spans="1:35" ht="24" customHeight="1" x14ac:dyDescent="0.2">
      <c r="A35" s="64">
        <v>29</v>
      </c>
      <c r="B35" s="48" t="s">
        <v>9</v>
      </c>
      <c r="C35" s="47" t="s">
        <v>4</v>
      </c>
      <c r="D35" s="100" t="s">
        <v>135</v>
      </c>
      <c r="E35" s="45" t="s">
        <v>158</v>
      </c>
      <c r="F35" s="46">
        <v>1</v>
      </c>
      <c r="G35" s="105" t="s">
        <v>185</v>
      </c>
      <c r="H35" s="49"/>
      <c r="I35" s="49"/>
      <c r="J35" s="2"/>
      <c r="K35" s="2"/>
      <c r="L35" s="3">
        <f t="shared" si="1"/>
        <v>0</v>
      </c>
      <c r="M35" s="3">
        <f t="shared" si="0"/>
        <v>60000</v>
      </c>
      <c r="N35" s="3">
        <f>SUMPRODUCT(Q35:U35,'1_Etat Initial'!$J$23:$N$23)/1000</f>
        <v>0</v>
      </c>
      <c r="O35" s="3">
        <f>AI35*'1_Etat Initial'!$D$41</f>
        <v>0</v>
      </c>
      <c r="P35" s="3" t="str">
        <f t="shared" si="2"/>
        <v>spécifique</v>
      </c>
      <c r="Q35" s="3">
        <f t="shared" si="3"/>
        <v>0</v>
      </c>
      <c r="R35" s="3">
        <f>IF(TYPE(AH35)=1,IF($H35=R$5,$AH35*'1_Etat Initial'!$C$17,0),AH35)</f>
        <v>0</v>
      </c>
      <c r="S35" s="3">
        <f>IF(TYPE(AH35)=1,IF($H35=S$5,$AH35*'1_Etat Initial'!$D$17,0),AH35)</f>
        <v>0</v>
      </c>
      <c r="T35" s="3">
        <f>IF(TYPE(AH35)=1,IF($H35=T$5,$AH35*'1_Etat Initial'!$E$17,0),AH35)</f>
        <v>0</v>
      </c>
      <c r="U35" s="3">
        <f>IF(TYPE(AH35)=1,IF($H35=U$5,$AH35*'1_Etat Initial'!$F$17,0),AH35)</f>
        <v>0</v>
      </c>
      <c r="V35" s="49"/>
      <c r="W35" s="49"/>
      <c r="X35" s="70"/>
      <c r="Y35" s="65">
        <f>SUMPRODUCT(Q35:U35,'1_Etat Initial'!$J$28:$N$28)/1000</f>
        <v>0</v>
      </c>
      <c r="AA35" s="106"/>
      <c r="AB35" s="107">
        <v>1</v>
      </c>
      <c r="AC35" s="3">
        <v>60000</v>
      </c>
      <c r="AD35" s="134">
        <f>IF(AG35="spécifique", "0",AG35*'1_Etat Initial'!$B$17/F35)</f>
        <v>0</v>
      </c>
      <c r="AE35" s="49">
        <f>IF(TYPE(AH35)=1,IF($H35=R$5,$AH35*'1_Etat Initial'!$C$17,IF($H35=S$5,$AH35*'1_Etat Initial'!$D$17,IF($H35=T$5,$AH35*'1_Etat Initial'!$E$17,IF($H35=U$5,$AH35*'1_Etat Initial'!$F$17,AH35))))/F35,AH35)</f>
        <v>0.15</v>
      </c>
      <c r="AF35" s="71">
        <f>AI35*'1_Etat Initial'!$D$41</f>
        <v>0</v>
      </c>
      <c r="AG35" s="104">
        <v>0.15</v>
      </c>
      <c r="AH35" s="103">
        <v>0.15</v>
      </c>
      <c r="AI35" s="108">
        <v>0.15</v>
      </c>
    </row>
    <row r="36" spans="1:35" ht="24" customHeight="1" x14ac:dyDescent="0.2">
      <c r="A36" s="64">
        <v>30</v>
      </c>
      <c r="B36" s="48" t="s">
        <v>10</v>
      </c>
      <c r="C36" s="47" t="s">
        <v>6</v>
      </c>
      <c r="D36" s="100" t="s">
        <v>135</v>
      </c>
      <c r="E36" s="45" t="s">
        <v>158</v>
      </c>
      <c r="F36" s="46">
        <v>1</v>
      </c>
      <c r="G36" s="105" t="s">
        <v>185</v>
      </c>
      <c r="H36" s="49"/>
      <c r="I36" s="49"/>
      <c r="J36" s="2"/>
      <c r="K36" s="2"/>
      <c r="L36" s="3">
        <f t="shared" si="1"/>
        <v>0</v>
      </c>
      <c r="M36" s="3">
        <f t="shared" si="0"/>
        <v>45000</v>
      </c>
      <c r="N36" s="3">
        <f>SUMPRODUCT(Q36:U36,'1_Etat Initial'!$J$23:$N$23)/1000</f>
        <v>0</v>
      </c>
      <c r="O36" s="3"/>
      <c r="P36" s="3" t="str">
        <f t="shared" si="2"/>
        <v>spécifique</v>
      </c>
      <c r="Q36" s="3">
        <f t="shared" si="3"/>
        <v>0</v>
      </c>
      <c r="R36" s="3">
        <f>IF(TYPE(AH36)=1,IF($H36=R$5,$AH36*'1_Etat Initial'!$C$17,0),AH36)</f>
        <v>0</v>
      </c>
      <c r="S36" s="3">
        <f>IF(TYPE(AH36)=1,IF($H36=S$5,$AH36*'1_Etat Initial'!$D$17,0),AH36)</f>
        <v>0</v>
      </c>
      <c r="T36" s="3">
        <f>IF(TYPE(AH36)=1,IF($H36=T$5,$AH36*'1_Etat Initial'!$E$17,0),AH36)</f>
        <v>0</v>
      </c>
      <c r="U36" s="3">
        <f>IF(TYPE(AH36)=1,IF($H36=U$5,$AH36*'1_Etat Initial'!$F$17,0),AH36)</f>
        <v>0</v>
      </c>
      <c r="V36" s="49"/>
      <c r="W36" s="49"/>
      <c r="X36" s="70"/>
      <c r="Y36" s="65">
        <f>SUMPRODUCT(Q36:U36,'1_Etat Initial'!$J$28:$N$28)/1000</f>
        <v>0</v>
      </c>
      <c r="AA36" s="106"/>
      <c r="AB36" s="107">
        <v>1</v>
      </c>
      <c r="AC36" s="3">
        <v>45000</v>
      </c>
      <c r="AD36" s="134">
        <f>IF(AG36="spécifique", "0",AG36*'1_Etat Initial'!$B$17/F36)</f>
        <v>0</v>
      </c>
      <c r="AE36" s="49">
        <f>IF(TYPE(AH36)=1,IF($H36=R$5,$AH36*'1_Etat Initial'!$C$17,IF($H36=S$5,$AH36*'1_Etat Initial'!$D$17,IF($H36=T$5,$AH36*'1_Etat Initial'!$E$17,IF($H36=U$5,$AH36*'1_Etat Initial'!$F$17,AH36))))/F36,AH36)</f>
        <v>0.1</v>
      </c>
      <c r="AF36" s="71"/>
      <c r="AG36" s="104">
        <v>0.1</v>
      </c>
      <c r="AH36" s="103">
        <v>0.1</v>
      </c>
      <c r="AI36" s="108"/>
    </row>
    <row r="37" spans="1:35" ht="24" customHeight="1" x14ac:dyDescent="0.2">
      <c r="A37" s="64">
        <v>31</v>
      </c>
      <c r="B37" s="48" t="s">
        <v>10</v>
      </c>
      <c r="C37" s="47" t="s">
        <v>188</v>
      </c>
      <c r="D37" s="100" t="s">
        <v>135</v>
      </c>
      <c r="E37" s="45" t="s">
        <v>158</v>
      </c>
      <c r="F37" s="49">
        <v>1</v>
      </c>
      <c r="G37" s="46" t="s">
        <v>166</v>
      </c>
      <c r="H37" s="49"/>
      <c r="I37" s="49"/>
      <c r="J37" s="2"/>
      <c r="K37" s="2"/>
      <c r="L37" s="3">
        <f t="shared" si="1"/>
        <v>3000</v>
      </c>
      <c r="M37" s="3">
        <f>ROUNDUP(AB37*AC37,-2)</f>
        <v>2700</v>
      </c>
      <c r="N37" s="3">
        <f>SUMPRODUCT(Q37:U37,'1_Etat Initial'!$J$23:$N$23)/1000</f>
        <v>0</v>
      </c>
      <c r="O37" s="3"/>
      <c r="P37" s="3" t="str">
        <f t="shared" si="2"/>
        <v>spécifique</v>
      </c>
      <c r="Q37" s="3">
        <f t="shared" si="3"/>
        <v>0</v>
      </c>
      <c r="R37" s="3">
        <f>IF(TYPE(AH37)=1,IF($H37=R$5,$AH37*'1_Etat Initial'!$C$17,0),AH37)</f>
        <v>0</v>
      </c>
      <c r="S37" s="3">
        <f>IF(TYPE(AH37)=1,IF($H37=S$5,$AH37*'1_Etat Initial'!$D$17,0),AH37)</f>
        <v>0</v>
      </c>
      <c r="T37" s="3">
        <f>IF(TYPE(AH37)=1,IF($H37=T$5,$AH37*'1_Etat Initial'!$E$17,0),AH37)</f>
        <v>0</v>
      </c>
      <c r="U37" s="3">
        <f>IF(TYPE(AH37)=1,IF($H37=U$5,$AH37*'1_Etat Initial'!$F$17,0),AH37)</f>
        <v>0</v>
      </c>
      <c r="V37" s="49"/>
      <c r="W37" s="49"/>
      <c r="X37" s="70"/>
      <c r="Y37" s="65">
        <f>SUMPRODUCT(Q37:U37,'1_Etat Initial'!$J$28:$N$28)/1000</f>
        <v>0</v>
      </c>
      <c r="AA37" s="106">
        <v>3000</v>
      </c>
      <c r="AB37" s="107">
        <f>20/230</f>
        <v>8.6956521739130432E-2</v>
      </c>
      <c r="AC37" s="3">
        <v>30000</v>
      </c>
      <c r="AD37" s="134">
        <f>IF(AG37="spécifique", "0",AG37*'1_Etat Initial'!$B$17/F37)</f>
        <v>0</v>
      </c>
      <c r="AE37" s="49">
        <f>IF(TYPE(AH37)=1,IF($H37=R$5,$AH37*'1_Etat Initial'!$C$17,IF($H37=S$5,$AH37*'1_Etat Initial'!$D$17,IF($H37=T$5,$AH37*'1_Etat Initial'!$E$17,IF($H37=U$5,$AH37*'1_Etat Initial'!$F$17,AH37))))/F37,AH37)</f>
        <v>0.04</v>
      </c>
      <c r="AF37" s="71"/>
      <c r="AG37" s="104">
        <v>0.04</v>
      </c>
      <c r="AH37" s="103">
        <v>0.04</v>
      </c>
      <c r="AI37" s="108"/>
    </row>
    <row r="38" spans="1:35" ht="24" customHeight="1" x14ac:dyDescent="0.2">
      <c r="A38" s="64">
        <v>32</v>
      </c>
      <c r="B38" s="48" t="s">
        <v>10</v>
      </c>
      <c r="C38" s="47" t="s">
        <v>31</v>
      </c>
      <c r="D38" s="100" t="s">
        <v>134</v>
      </c>
      <c r="E38" s="45" t="s">
        <v>158</v>
      </c>
      <c r="F38" s="49">
        <v>1</v>
      </c>
      <c r="G38" s="46" t="s">
        <v>167</v>
      </c>
      <c r="H38" s="49"/>
      <c r="I38" s="49"/>
      <c r="J38" s="2"/>
      <c r="K38" s="2"/>
      <c r="L38" s="3">
        <f t="shared" si="1"/>
        <v>1000</v>
      </c>
      <c r="M38" s="3">
        <f t="shared" ref="M38:M41" si="4">ROUNDUP(AB38*AC38,-2)</f>
        <v>6000</v>
      </c>
      <c r="N38" s="3">
        <f>SUMPRODUCT(Q38:U38,'1_Etat Initial'!$J$23:$N$23)/1000</f>
        <v>0</v>
      </c>
      <c r="O38" s="3"/>
      <c r="P38" s="3" t="str">
        <f t="shared" si="2"/>
        <v>spécifique</v>
      </c>
      <c r="Q38" s="3">
        <f t="shared" si="3"/>
        <v>0</v>
      </c>
      <c r="R38" s="3">
        <f>IF(TYPE(AH38)=1,IF($H38=R$5,$AH38*'1_Etat Initial'!$C$17,0),AH38)</f>
        <v>0</v>
      </c>
      <c r="S38" s="3">
        <f>IF(TYPE(AH38)=1,IF($H38=S$5,$AH38*'1_Etat Initial'!$D$17,0),AH38)</f>
        <v>0</v>
      </c>
      <c r="T38" s="3">
        <f>IF(TYPE(AH38)=1,IF($H38=T$5,$AH38*'1_Etat Initial'!$E$17,0),AH38)</f>
        <v>0</v>
      </c>
      <c r="U38" s="3">
        <f>IF(TYPE(AH38)=1,IF($H38=U$5,$AH38*'1_Etat Initial'!$F$17,0),AH38)</f>
        <v>0</v>
      </c>
      <c r="V38" s="49"/>
      <c r="W38" s="49"/>
      <c r="X38" s="70"/>
      <c r="Y38" s="65">
        <f>SUMPRODUCT(Q38:U38,'1_Etat Initial'!$J$28:$N$28)/1000</f>
        <v>0</v>
      </c>
      <c r="AA38" s="106">
        <v>1000</v>
      </c>
      <c r="AB38" s="107">
        <v>0.2</v>
      </c>
      <c r="AC38" s="3">
        <v>30000</v>
      </c>
      <c r="AD38" s="134">
        <f>IF(AG38="spécifique", "0",AG38*'1_Etat Initial'!$B$17/F38)</f>
        <v>0</v>
      </c>
      <c r="AE38" s="49">
        <f>IF(TYPE(AH38)=1,IF($H38=R$5,$AH38*'1_Etat Initial'!$C$17,IF($H38=S$5,$AH38*'1_Etat Initial'!$D$17,IF($H38=T$5,$AH38*'1_Etat Initial'!$E$17,IF($H38=U$5,$AH38*'1_Etat Initial'!$F$17,AH38))))/F38,AH38)</f>
        <v>0.1</v>
      </c>
      <c r="AF38" s="71"/>
      <c r="AG38" s="104">
        <v>0.1</v>
      </c>
      <c r="AH38" s="103">
        <v>0.1</v>
      </c>
      <c r="AI38" s="108"/>
    </row>
    <row r="39" spans="1:35" ht="24" customHeight="1" x14ac:dyDescent="0.2">
      <c r="A39" s="64">
        <v>33</v>
      </c>
      <c r="B39" s="48" t="s">
        <v>10</v>
      </c>
      <c r="C39" s="47" t="s">
        <v>152</v>
      </c>
      <c r="D39" s="100" t="s">
        <v>134</v>
      </c>
      <c r="E39" s="45" t="s">
        <v>158</v>
      </c>
      <c r="F39" s="46">
        <v>1</v>
      </c>
      <c r="G39" s="105" t="s">
        <v>185</v>
      </c>
      <c r="H39" s="49"/>
      <c r="I39" s="49"/>
      <c r="J39" s="2"/>
      <c r="K39" s="2"/>
      <c r="L39" s="3">
        <f t="shared" si="1"/>
        <v>3000</v>
      </c>
      <c r="M39" s="3">
        <f t="shared" si="4"/>
        <v>2700</v>
      </c>
      <c r="N39" s="3">
        <f>SUMPRODUCT(Q39:U39,'1_Etat Initial'!$J$23:$N$23)/1000</f>
        <v>0</v>
      </c>
      <c r="O39" s="3"/>
      <c r="P39" s="3" t="str">
        <f t="shared" si="2"/>
        <v>spécifique</v>
      </c>
      <c r="Q39" s="3">
        <f t="shared" si="3"/>
        <v>0</v>
      </c>
      <c r="R39" s="3">
        <f>IF(TYPE(AH39)=1,IF($H39=R$5,$AH39*'1_Etat Initial'!$C$17,0),AH39)</f>
        <v>0</v>
      </c>
      <c r="S39" s="3">
        <f>IF(TYPE(AH39)=1,IF($H39=S$5,$AH39*'1_Etat Initial'!$D$17,0),AH39)</f>
        <v>0</v>
      </c>
      <c r="T39" s="3">
        <f>IF(TYPE(AH39)=1,IF($H39=T$5,$AH39*'1_Etat Initial'!$E$17,0),AH39)</f>
        <v>0</v>
      </c>
      <c r="U39" s="3">
        <f>IF(TYPE(AH39)=1,IF($H39=U$5,$AH39*'1_Etat Initial'!$F$17,0),AH39)</f>
        <v>0</v>
      </c>
      <c r="V39" s="49"/>
      <c r="W39" s="49"/>
      <c r="X39" s="70"/>
      <c r="Y39" s="65">
        <f>SUMPRODUCT(Q39:U39,'1_Etat Initial'!$J$28:$N$28)/1000</f>
        <v>0</v>
      </c>
      <c r="AA39" s="106">
        <v>3000</v>
      </c>
      <c r="AB39" s="107">
        <f>20/230</f>
        <v>8.6956521739130432E-2</v>
      </c>
      <c r="AC39" s="3">
        <v>30000</v>
      </c>
      <c r="AD39" s="134">
        <f>IF(AG39="spécifique", "0",AG39*'1_Etat Initial'!$B$17/F39)</f>
        <v>0</v>
      </c>
      <c r="AE39" s="49">
        <f>IF(TYPE(AH39)=1,IF($H39=R$5,$AH39*'1_Etat Initial'!$C$17,IF($H39=S$5,$AH39*'1_Etat Initial'!$D$17,IF($H39=T$5,$AH39*'1_Etat Initial'!$E$17,IF($H39=U$5,$AH39*'1_Etat Initial'!$F$17,AH39))))/F39,AH39)</f>
        <v>0.03</v>
      </c>
      <c r="AF39" s="71"/>
      <c r="AG39" s="104">
        <v>0.03</v>
      </c>
      <c r="AH39" s="103">
        <v>0.03</v>
      </c>
      <c r="AI39" s="108"/>
    </row>
    <row r="40" spans="1:35" ht="24" customHeight="1" x14ac:dyDescent="0.2">
      <c r="A40" s="64">
        <v>34</v>
      </c>
      <c r="B40" s="48" t="s">
        <v>10</v>
      </c>
      <c r="C40" s="47" t="s">
        <v>27</v>
      </c>
      <c r="D40" s="100" t="s">
        <v>135</v>
      </c>
      <c r="E40" s="45" t="s">
        <v>158</v>
      </c>
      <c r="F40" s="46">
        <v>1</v>
      </c>
      <c r="G40" s="105" t="s">
        <v>185</v>
      </c>
      <c r="H40" s="49"/>
      <c r="I40" s="49"/>
      <c r="J40" s="2"/>
      <c r="K40" s="2"/>
      <c r="L40" s="3">
        <f t="shared" si="1"/>
        <v>500</v>
      </c>
      <c r="M40" s="3">
        <f t="shared" si="4"/>
        <v>2700</v>
      </c>
      <c r="N40" s="3">
        <f>SUMPRODUCT(Q40:U40,'1_Etat Initial'!$J$23:$N$23)/1000</f>
        <v>0</v>
      </c>
      <c r="O40" s="3"/>
      <c r="P40" s="3" t="str">
        <f t="shared" si="2"/>
        <v>spécifique</v>
      </c>
      <c r="Q40" s="3">
        <f t="shared" si="3"/>
        <v>0</v>
      </c>
      <c r="R40" s="3">
        <f>IF(TYPE(AH40)=1,IF($H40=R$5,$AH40*'1_Etat Initial'!$C$17,0),AH40)</f>
        <v>0</v>
      </c>
      <c r="S40" s="3">
        <f>IF(TYPE(AH40)=1,IF($H40=S$5,$AH40*'1_Etat Initial'!$D$17,0),AH40)</f>
        <v>0</v>
      </c>
      <c r="T40" s="3">
        <f>IF(TYPE(AH40)=1,IF($H40=T$5,$AH40*'1_Etat Initial'!$E$17,0),AH40)</f>
        <v>0</v>
      </c>
      <c r="U40" s="3">
        <f>IF(TYPE(AH40)=1,IF($H40=U$5,$AH40*'1_Etat Initial'!$F$17,0),AH40)</f>
        <v>0</v>
      </c>
      <c r="V40" s="49"/>
      <c r="W40" s="49"/>
      <c r="X40" s="70"/>
      <c r="Y40" s="65">
        <f>SUMPRODUCT(Q40:U40,'1_Etat Initial'!$J$28:$N$28)/1000</f>
        <v>0</v>
      </c>
      <c r="AA40" s="106">
        <v>500</v>
      </c>
      <c r="AB40" s="107">
        <f>20/230</f>
        <v>8.6956521739130432E-2</v>
      </c>
      <c r="AC40" s="3">
        <v>30000</v>
      </c>
      <c r="AD40" s="134">
        <f>IF(AG40="spécifique", "0",AG40*'1_Etat Initial'!$B$17/F40)</f>
        <v>0</v>
      </c>
      <c r="AE40" s="49">
        <f>IF(TYPE(AH40)=1,IF($H40=R$5,$AH40*'1_Etat Initial'!$C$17,IF($H40=S$5,$AH40*'1_Etat Initial'!$D$17,IF($H40=T$5,$AH40*'1_Etat Initial'!$E$17,IF($H40=U$5,$AH40*'1_Etat Initial'!$F$17,AH40))))/F40,AH40)</f>
        <v>0.05</v>
      </c>
      <c r="AF40" s="71"/>
      <c r="AG40" s="104">
        <v>0.05</v>
      </c>
      <c r="AH40" s="103">
        <v>0.05</v>
      </c>
      <c r="AI40" s="108"/>
    </row>
    <row r="41" spans="1:35" ht="24" customHeight="1" x14ac:dyDescent="0.2">
      <c r="A41" s="64">
        <v>35</v>
      </c>
      <c r="B41" s="48" t="s">
        <v>1</v>
      </c>
      <c r="C41" s="47" t="s">
        <v>7</v>
      </c>
      <c r="D41" s="100" t="s">
        <v>134</v>
      </c>
      <c r="E41" s="45" t="s">
        <v>158</v>
      </c>
      <c r="F41" s="49">
        <v>20</v>
      </c>
      <c r="G41" s="46" t="s">
        <v>169</v>
      </c>
      <c r="H41" s="49"/>
      <c r="I41" s="49"/>
      <c r="J41" s="2"/>
      <c r="K41" s="2"/>
      <c r="L41" s="3">
        <f>F41*90000/20</f>
        <v>90000</v>
      </c>
      <c r="M41" s="3">
        <f t="shared" si="4"/>
        <v>0</v>
      </c>
      <c r="N41" s="3">
        <f>SUMPRODUCT(Q41:U41,'1_Etat Initial'!$J$23:$N$23)/1000</f>
        <v>0</v>
      </c>
      <c r="O41" s="3"/>
      <c r="P41" s="3" t="str">
        <f t="shared" si="2"/>
        <v>spécifique</v>
      </c>
      <c r="Q41" s="3">
        <f>AD41*F41</f>
        <v>35.04</v>
      </c>
      <c r="R41" s="3">
        <f>IF($H$41=R5,AD41*E41,0)</f>
        <v>0</v>
      </c>
      <c r="S41" s="3">
        <f>IF($H$41=S5,AE41*F41,0)</f>
        <v>0</v>
      </c>
      <c r="T41" s="3">
        <f t="shared" ref="T41:U41" si="5">IF($H$41=T5,AF41*G41,0)</f>
        <v>0</v>
      </c>
      <c r="U41" s="3">
        <f t="shared" si="5"/>
        <v>0</v>
      </c>
      <c r="V41" s="49"/>
      <c r="W41" s="49"/>
      <c r="X41" s="70"/>
      <c r="Y41" s="65">
        <f>SUMPRODUCT(Q41:U41,'1_Etat Initial'!$J$28:$N$28)/1000</f>
        <v>2.6280000000000001</v>
      </c>
      <c r="AA41" s="106"/>
      <c r="AB41" s="107"/>
      <c r="AC41" s="3"/>
      <c r="AD41" s="134">
        <f>0.6*365*24/1000/3</f>
        <v>1.752</v>
      </c>
      <c r="AE41" s="134">
        <f>AD41*3*0.96</f>
        <v>5.0457600000000005</v>
      </c>
      <c r="AF41" s="71">
        <f>AI41*'1_Etat Initial'!$D$41</f>
        <v>0</v>
      </c>
      <c r="AG41" s="104" t="s">
        <v>171</v>
      </c>
      <c r="AH41" s="103">
        <v>0.01</v>
      </c>
      <c r="AI41" s="108">
        <v>0.1</v>
      </c>
    </row>
    <row r="42" spans="1:35" ht="24" customHeight="1" x14ac:dyDescent="0.2">
      <c r="A42" s="64">
        <v>36</v>
      </c>
      <c r="B42" s="48" t="s">
        <v>1</v>
      </c>
      <c r="C42" s="47" t="s">
        <v>32</v>
      </c>
      <c r="D42" s="100" t="s">
        <v>135</v>
      </c>
      <c r="E42" s="45" t="s">
        <v>157</v>
      </c>
      <c r="F42" s="49">
        <v>1</v>
      </c>
      <c r="G42" s="46" t="s">
        <v>169</v>
      </c>
      <c r="H42" s="49"/>
      <c r="I42" s="49"/>
      <c r="J42" s="2"/>
      <c r="K42" s="2"/>
      <c r="L42" s="3">
        <f>IF(AA42="spécifique", "spécifique",AA42*$F42)</f>
        <v>600</v>
      </c>
      <c r="M42" s="3">
        <f t="shared" ref="M42:M52" si="6">AB42*AC42</f>
        <v>0</v>
      </c>
      <c r="N42" s="3">
        <f>SUMPRODUCT(Q42:U42,'1_Etat Initial'!$J$23:$N$23)/1000</f>
        <v>0</v>
      </c>
      <c r="O42" s="3"/>
      <c r="P42" s="3" t="str">
        <f t="shared" si="2"/>
        <v>spécifique</v>
      </c>
      <c r="Q42" s="3">
        <f t="shared" si="3"/>
        <v>0</v>
      </c>
      <c r="R42" s="3" t="str">
        <f>IF(TYPE(AH42)=1,IF($H42=R$5,$AH42*'1_Etat Initial'!$C$17,0),AH42)</f>
        <v>-</v>
      </c>
      <c r="S42" s="3" t="str">
        <f>IF(TYPE(AH42)=1,IF($H42=S$5,$AH42*'1_Etat Initial'!$D$17,0),AH42)</f>
        <v>-</v>
      </c>
      <c r="T42" s="3" t="str">
        <f>IF(TYPE(AH42)=1,IF($H42=T$5,$AH42*'1_Etat Initial'!$E$17,0),AH42)</f>
        <v>-</v>
      </c>
      <c r="U42" s="3" t="str">
        <f>IF(TYPE(AH42)=1,IF($H42=U$5,$AH42*'1_Etat Initial'!$F$17,0),AH42)</f>
        <v>-</v>
      </c>
      <c r="V42" s="49"/>
      <c r="W42" s="49"/>
      <c r="X42" s="70"/>
      <c r="Y42" s="65">
        <f>SUMPRODUCT(Q42:U42,'1_Etat Initial'!$J$28:$N$28)/1000</f>
        <v>0</v>
      </c>
      <c r="AA42" s="106">
        <v>600</v>
      </c>
      <c r="AB42" s="107"/>
      <c r="AC42" s="3"/>
      <c r="AD42" s="134" t="str">
        <f>IF(AG42="spécifique", "0",AG42*'1_Etat Initial'!$B$17/F42)</f>
        <v>0</v>
      </c>
      <c r="AE42" s="49" t="str">
        <f>IF(TYPE(AH42)=1,IF($H42=R$5,$AH42*'1_Etat Initial'!$C$17,IF($H42=S$5,$AH42*'1_Etat Initial'!$D$17,IF($H42=T$5,$AH42*'1_Etat Initial'!$E$17,IF($H42=U$5,$AH42*'1_Etat Initial'!$F$17,AH42))))/F42,AH42)</f>
        <v>-</v>
      </c>
      <c r="AF42" s="71"/>
      <c r="AG42" s="104" t="s">
        <v>171</v>
      </c>
      <c r="AH42" s="103" t="s">
        <v>108</v>
      </c>
      <c r="AI42" s="108" t="s">
        <v>108</v>
      </c>
    </row>
    <row r="43" spans="1:35" ht="24" customHeight="1" x14ac:dyDescent="0.2">
      <c r="A43" s="64">
        <v>37</v>
      </c>
      <c r="B43" s="48" t="s">
        <v>1</v>
      </c>
      <c r="C43" s="47" t="s">
        <v>172</v>
      </c>
      <c r="D43" s="100" t="s">
        <v>134</v>
      </c>
      <c r="E43" s="45" t="s">
        <v>158</v>
      </c>
      <c r="F43" s="49">
        <v>1</v>
      </c>
      <c r="G43" s="46" t="s">
        <v>168</v>
      </c>
      <c r="H43" s="49"/>
      <c r="I43" s="49"/>
      <c r="J43" s="2"/>
      <c r="K43" s="2"/>
      <c r="L43" s="3">
        <f t="shared" si="1"/>
        <v>400</v>
      </c>
      <c r="M43" s="3">
        <f t="shared" si="6"/>
        <v>0</v>
      </c>
      <c r="N43" s="3">
        <f>SUMPRODUCT(Q43:U43,'1_Etat Initial'!$J$23:$N$23)/1000</f>
        <v>0</v>
      </c>
      <c r="O43" s="3"/>
      <c r="P43" s="3" t="str">
        <f t="shared" si="2"/>
        <v>spécifique</v>
      </c>
      <c r="Q43" s="3">
        <f t="shared" si="3"/>
        <v>175</v>
      </c>
      <c r="R43" s="3" t="str">
        <f>IF(TYPE(AH43)=1,IF($H43=R$5,$AH43*'1_Etat Initial'!$C$17,0),AH43)</f>
        <v>-</v>
      </c>
      <c r="S43" s="3" t="str">
        <f>IF(TYPE(AH43)=1,IF($H43=S$5,$AH43*'1_Etat Initial'!$D$17,0),AH43)</f>
        <v>-</v>
      </c>
      <c r="T43" s="3" t="str">
        <f>IF(TYPE(AH43)=1,IF($H43=T$5,$AH43*'1_Etat Initial'!$E$17,0),AH43)</f>
        <v>-</v>
      </c>
      <c r="U43" s="3" t="str">
        <f>IF(TYPE(AH43)=1,IF($H43=U$5,$AH43*'1_Etat Initial'!$F$17,0),AH43)</f>
        <v>-</v>
      </c>
      <c r="V43" s="49"/>
      <c r="W43" s="49"/>
      <c r="X43" s="70"/>
      <c r="Y43" s="65">
        <f>SUMPRODUCT(Q43:U43,'1_Etat Initial'!$J$28:$N$28)/1000</f>
        <v>13.125</v>
      </c>
      <c r="AA43" s="106">
        <v>400</v>
      </c>
      <c r="AB43" s="107"/>
      <c r="AC43" s="3"/>
      <c r="AD43" s="134">
        <v>175</v>
      </c>
      <c r="AE43" s="49" t="str">
        <f>IF(TYPE(AH43)=1,IF($H43=R$5,$AH43*'1_Etat Initial'!$C$17,IF($H43=S$5,$AH43*'1_Etat Initial'!$D$17,IF($H43=T$5,$AH43*'1_Etat Initial'!$E$17,IF($H43=U$5,$AH43*'1_Etat Initial'!$F$17,AH43))))/F43,AH43)</f>
        <v>-</v>
      </c>
      <c r="AF43" s="71"/>
      <c r="AG43" s="104" t="s">
        <v>171</v>
      </c>
      <c r="AH43" s="103" t="s">
        <v>108</v>
      </c>
      <c r="AI43" s="108" t="s">
        <v>108</v>
      </c>
    </row>
    <row r="44" spans="1:35" ht="24" customHeight="1" x14ac:dyDescent="0.2">
      <c r="A44" s="64">
        <v>38</v>
      </c>
      <c r="B44" s="48" t="s">
        <v>1</v>
      </c>
      <c r="C44" s="47" t="s">
        <v>33</v>
      </c>
      <c r="D44" s="100" t="s">
        <v>134</v>
      </c>
      <c r="E44" s="45" t="s">
        <v>158</v>
      </c>
      <c r="F44" s="46">
        <v>1</v>
      </c>
      <c r="G44" s="105" t="s">
        <v>185</v>
      </c>
      <c r="H44" s="49"/>
      <c r="I44" s="49"/>
      <c r="J44" s="2"/>
      <c r="K44" s="2"/>
      <c r="L44" s="3" t="str">
        <f t="shared" si="1"/>
        <v>spécifique</v>
      </c>
      <c r="M44" s="3">
        <f t="shared" si="6"/>
        <v>0</v>
      </c>
      <c r="N44" s="3">
        <f>SUMPRODUCT(Q44:U44,'1_Etat Initial'!$J$23:$N$23)/1000</f>
        <v>0</v>
      </c>
      <c r="O44" s="3"/>
      <c r="P44" s="3" t="str">
        <f t="shared" si="2"/>
        <v>spécifique</v>
      </c>
      <c r="Q44" s="3">
        <f t="shared" si="3"/>
        <v>0</v>
      </c>
      <c r="R44" s="3" t="str">
        <f>IF(TYPE(AH44)=1,IF($H44=R$5,$AH44*'1_Etat Initial'!$C$17,0),AH44)</f>
        <v>spécifique</v>
      </c>
      <c r="S44" s="3" t="str">
        <f>IF(TYPE(AH44)=1,IF($H44=S$5,$AH44*'1_Etat Initial'!$D$17,0),AH44)</f>
        <v>spécifique</v>
      </c>
      <c r="T44" s="3" t="str">
        <f>IF(TYPE(AH44)=1,IF($H44=T$5,$AH44*'1_Etat Initial'!$E$17,0),AH44)</f>
        <v>spécifique</v>
      </c>
      <c r="U44" s="3" t="str">
        <f>IF(TYPE(AH44)=1,IF($H44=U$5,$AH44*'1_Etat Initial'!$F$17,0),AH44)</f>
        <v>spécifique</v>
      </c>
      <c r="V44" s="49"/>
      <c r="W44" s="49"/>
      <c r="X44" s="70"/>
      <c r="Y44" s="65">
        <f>SUMPRODUCT(Q44:U44,'1_Etat Initial'!$J$28:$N$28)/1000</f>
        <v>0</v>
      </c>
      <c r="AA44" s="106" t="s">
        <v>171</v>
      </c>
      <c r="AB44" s="107"/>
      <c r="AC44" s="3"/>
      <c r="AD44" s="134" t="str">
        <f>IF(AG44="spécifique", "0",AG44*'1_Etat Initial'!$B$17/F44)</f>
        <v>0</v>
      </c>
      <c r="AE44" s="49" t="str">
        <f>IF(TYPE(AH44)=1,IF($H44=R$5,$AH44*'1_Etat Initial'!$C$17,IF($H44=S$5,$AH44*'1_Etat Initial'!$D$17,IF($H44=T$5,$AH44*'1_Etat Initial'!$E$17,IF($H44=U$5,$AH44*'1_Etat Initial'!$F$17,AH44))))/F44,AH44)</f>
        <v>spécifique</v>
      </c>
      <c r="AF44" s="71"/>
      <c r="AG44" s="104" t="s">
        <v>171</v>
      </c>
      <c r="AH44" s="103" t="s">
        <v>171</v>
      </c>
      <c r="AI44" s="108" t="s">
        <v>171</v>
      </c>
    </row>
    <row r="45" spans="1:35" ht="24" customHeight="1" x14ac:dyDescent="0.2">
      <c r="A45" s="64">
        <v>39</v>
      </c>
      <c r="B45" s="48" t="s">
        <v>1</v>
      </c>
      <c r="C45" s="47" t="s">
        <v>153</v>
      </c>
      <c r="D45" s="100" t="s">
        <v>134</v>
      </c>
      <c r="E45" s="45" t="s">
        <v>157</v>
      </c>
      <c r="F45" s="49">
        <v>1</v>
      </c>
      <c r="G45" s="46" t="s">
        <v>168</v>
      </c>
      <c r="H45" s="49"/>
      <c r="I45" s="49"/>
      <c r="J45" s="2"/>
      <c r="K45" s="2"/>
      <c r="L45" s="3">
        <f t="shared" si="1"/>
        <v>1200</v>
      </c>
      <c r="M45" s="3">
        <f t="shared" si="6"/>
        <v>0</v>
      </c>
      <c r="N45" s="3">
        <f>SUMPRODUCT(Q45:U45,'1_Etat Initial'!$J$23:$N$23)/1000</f>
        <v>0</v>
      </c>
      <c r="O45" s="3"/>
      <c r="P45" s="3" t="str">
        <f t="shared" si="2"/>
        <v>spécifique</v>
      </c>
      <c r="Q45" s="3">
        <f t="shared" si="3"/>
        <v>0</v>
      </c>
      <c r="R45" s="3" t="str">
        <f>IF(TYPE(AH45)=1,IF($H45=R$5,$AH45*'1_Etat Initial'!$C$17,0),AH45)</f>
        <v>spécifique</v>
      </c>
      <c r="S45" s="3" t="str">
        <f>IF(TYPE(AH45)=1,IF($H45=S$5,$AH45*'1_Etat Initial'!$D$17,0),AH45)</f>
        <v>spécifique</v>
      </c>
      <c r="T45" s="3" t="str">
        <f>IF(TYPE(AH45)=1,IF($H45=T$5,$AH45*'1_Etat Initial'!$E$17,0),AH45)</f>
        <v>spécifique</v>
      </c>
      <c r="U45" s="3" t="str">
        <f>IF(TYPE(AH45)=1,IF($H45=U$5,$AH45*'1_Etat Initial'!$F$17,0),AH45)</f>
        <v>spécifique</v>
      </c>
      <c r="V45" s="49"/>
      <c r="W45" s="49"/>
      <c r="X45" s="70"/>
      <c r="Y45" s="65">
        <f>SUMPRODUCT(Q45:U45,'1_Etat Initial'!$J$28:$N$28)/1000</f>
        <v>0</v>
      </c>
      <c r="AA45" s="106">
        <v>1200</v>
      </c>
      <c r="AB45" s="107"/>
      <c r="AC45" s="3"/>
      <c r="AD45" s="134"/>
      <c r="AE45" s="49" t="str">
        <f>IF(TYPE(AH45)=1,IF($H45=R$5,$AH45*'1_Etat Initial'!$C$17,IF($H45=S$5,$AH45*'1_Etat Initial'!$D$17,IF($H45=T$5,$AH45*'1_Etat Initial'!$E$17,IF($H45=U$5,$AH45*'1_Etat Initial'!$F$17,AH45))))/F45,AH45)</f>
        <v>spécifique</v>
      </c>
      <c r="AF45" s="71"/>
      <c r="AG45" s="104" t="s">
        <v>108</v>
      </c>
      <c r="AH45" s="103" t="s">
        <v>171</v>
      </c>
      <c r="AI45" s="108"/>
    </row>
    <row r="46" spans="1:35" ht="24" customHeight="1" x14ac:dyDescent="0.2">
      <c r="A46" s="64">
        <v>40</v>
      </c>
      <c r="B46" s="48" t="s">
        <v>1</v>
      </c>
      <c r="C46" s="47" t="s">
        <v>173</v>
      </c>
      <c r="D46" s="100" t="s">
        <v>135</v>
      </c>
      <c r="E46" s="45" t="s">
        <v>157</v>
      </c>
      <c r="F46" s="49">
        <v>1</v>
      </c>
      <c r="G46" s="46" t="s">
        <v>169</v>
      </c>
      <c r="H46" s="49"/>
      <c r="I46" s="49"/>
      <c r="J46" s="2"/>
      <c r="K46" s="2"/>
      <c r="L46" s="3" t="str">
        <f t="shared" si="1"/>
        <v>spécifique</v>
      </c>
      <c r="M46" s="3">
        <f t="shared" si="6"/>
        <v>0</v>
      </c>
      <c r="N46" s="3">
        <f>SUMPRODUCT(Q46:U46,'1_Etat Initial'!$J$23:$N$23)/1000</f>
        <v>0</v>
      </c>
      <c r="O46" s="3">
        <f>AI46*'1_Etat Initial'!$D$41</f>
        <v>0</v>
      </c>
      <c r="P46" s="3" t="str">
        <f t="shared" si="2"/>
        <v>spécifique</v>
      </c>
      <c r="Q46" s="3">
        <f t="shared" si="3"/>
        <v>0</v>
      </c>
      <c r="R46" s="3" t="str">
        <f>IF(TYPE(AH46)=1,IF($H46=R$5,$AH46*'1_Etat Initial'!$C$17,0),AH46)</f>
        <v>-</v>
      </c>
      <c r="S46" s="3" t="str">
        <f>IF(TYPE(AH46)=1,IF($H46=S$5,$AH46*'1_Etat Initial'!$D$17,0),AH46)</f>
        <v>-</v>
      </c>
      <c r="T46" s="3" t="str">
        <f>IF(TYPE(AH46)=1,IF($H46=T$5,$AH46*'1_Etat Initial'!$E$17,0),AH46)</f>
        <v>-</v>
      </c>
      <c r="U46" s="3" t="str">
        <f>IF(TYPE(AH46)=1,IF($H46=U$5,$AH46*'1_Etat Initial'!$F$17,0),AH46)</f>
        <v>-</v>
      </c>
      <c r="V46" s="49"/>
      <c r="W46" s="49"/>
      <c r="X46" s="70"/>
      <c r="Y46" s="65">
        <f>SUMPRODUCT(Q46:U46,'1_Etat Initial'!$J$28:$N$28)/1000</f>
        <v>0</v>
      </c>
      <c r="AA46" s="106" t="s">
        <v>171</v>
      </c>
      <c r="AB46" s="107"/>
      <c r="AC46" s="3"/>
      <c r="AD46" s="134"/>
      <c r="AE46" s="49" t="str">
        <f>IF(TYPE(AH46)=1,IF($H46=R$5,$AH46*'1_Etat Initial'!$C$17,IF($H46=S$5,$AH46*'1_Etat Initial'!$D$17,IF($H46=T$5,$AH46*'1_Etat Initial'!$E$17,IF($H46=U$5,$AH46*'1_Etat Initial'!$F$17,AH46))))/F46,AH46)</f>
        <v>-</v>
      </c>
      <c r="AF46" s="71">
        <f>AI46*'1_Etat Initial'!$D$41</f>
        <v>0</v>
      </c>
      <c r="AG46" s="104" t="s">
        <v>108</v>
      </c>
      <c r="AH46" s="103" t="s">
        <v>108</v>
      </c>
      <c r="AI46" s="108">
        <v>0.15</v>
      </c>
    </row>
    <row r="47" spans="1:35" ht="24" customHeight="1" x14ac:dyDescent="0.2">
      <c r="A47" s="64">
        <v>41</v>
      </c>
      <c r="B47" s="48" t="s">
        <v>1</v>
      </c>
      <c r="C47" s="47" t="s">
        <v>22</v>
      </c>
      <c r="D47" s="100" t="s">
        <v>135</v>
      </c>
      <c r="E47" s="45" t="s">
        <v>158</v>
      </c>
      <c r="F47" s="46">
        <v>1</v>
      </c>
      <c r="G47" s="105" t="s">
        <v>185</v>
      </c>
      <c r="H47" s="49"/>
      <c r="I47" s="49"/>
      <c r="J47" s="2"/>
      <c r="K47" s="2"/>
      <c r="L47" s="3">
        <f>IF(AA47="spécifique", "spécifique",AA47*$F47)</f>
        <v>20000</v>
      </c>
      <c r="M47" s="3">
        <f t="shared" si="6"/>
        <v>0</v>
      </c>
      <c r="N47" s="3">
        <f>SUMPRODUCT(Q47:U47,'1_Etat Initial'!$J$23:$N$23)/1000</f>
        <v>0</v>
      </c>
      <c r="O47" s="3"/>
      <c r="P47" s="3" t="str">
        <f t="shared" si="2"/>
        <v>spécifique</v>
      </c>
      <c r="Q47" s="3">
        <f t="shared" si="3"/>
        <v>0</v>
      </c>
      <c r="R47" s="3" t="str">
        <f>IF(TYPE(AH47)=1,IF($H47=R$5,$AH47*'1_Etat Initial'!$C$17,0),AH47)</f>
        <v>-</v>
      </c>
      <c r="S47" s="3" t="str">
        <f>IF(TYPE(AH47)=1,IF($H47=S$5,$AH47*'1_Etat Initial'!$D$17,0),AH47)</f>
        <v>-</v>
      </c>
      <c r="T47" s="3" t="str">
        <f>IF(TYPE(AH47)=1,IF($H47=T$5,$AH47*'1_Etat Initial'!$E$17,0),AH47)</f>
        <v>-</v>
      </c>
      <c r="U47" s="3" t="str">
        <f>IF(TYPE(AH47)=1,IF($H47=U$5,$AH47*'1_Etat Initial'!$F$17,0),AH47)</f>
        <v>-</v>
      </c>
      <c r="V47" s="49"/>
      <c r="W47" s="49"/>
      <c r="X47" s="70"/>
      <c r="Y47" s="65">
        <f>SUMPRODUCT(Q47:U47,'1_Etat Initial'!$J$28:$N$28)/1000</f>
        <v>0</v>
      </c>
      <c r="AA47" s="106">
        <v>20000</v>
      </c>
      <c r="AB47" s="107"/>
      <c r="AC47" s="3"/>
      <c r="AD47" s="134"/>
      <c r="AE47" s="49" t="str">
        <f>IF(TYPE(AH47)=1,IF($H47=R$5,$AH47*'1_Etat Initial'!$C$17,IF($H47=S$5,$AH47*'1_Etat Initial'!$D$17,IF($H47=T$5,$AH47*'1_Etat Initial'!$E$17,IF($H47=U$5,$AH47*'1_Etat Initial'!$F$17,AH47))))/F47,AH47)</f>
        <v>-</v>
      </c>
      <c r="AF47" s="71"/>
      <c r="AG47" s="104" t="s">
        <v>108</v>
      </c>
      <c r="AH47" s="103" t="s">
        <v>108</v>
      </c>
      <c r="AI47" s="108" t="s">
        <v>108</v>
      </c>
    </row>
    <row r="48" spans="1:35" ht="24" customHeight="1" x14ac:dyDescent="0.2">
      <c r="A48" s="64">
        <v>42</v>
      </c>
      <c r="B48" s="48" t="s">
        <v>2</v>
      </c>
      <c r="C48" s="47" t="s">
        <v>174</v>
      </c>
      <c r="D48" s="100" t="s">
        <v>134</v>
      </c>
      <c r="E48" s="45" t="s">
        <v>158</v>
      </c>
      <c r="F48" s="49">
        <v>1</v>
      </c>
      <c r="G48" s="46" t="s">
        <v>170</v>
      </c>
      <c r="H48" s="49"/>
      <c r="I48" s="49"/>
      <c r="J48" s="2"/>
      <c r="K48" s="2"/>
      <c r="L48" s="3">
        <f t="shared" si="1"/>
        <v>1200</v>
      </c>
      <c r="M48" s="3">
        <f t="shared" si="6"/>
        <v>0</v>
      </c>
      <c r="N48" s="3">
        <f>SUMPRODUCT(Q48:U48,'1_Etat Initial'!$J$23:$N$23)/1000</f>
        <v>0</v>
      </c>
      <c r="O48" s="3"/>
      <c r="P48" s="3" t="str">
        <f t="shared" si="2"/>
        <v>spécifique</v>
      </c>
      <c r="Q48" s="3">
        <f t="shared" si="3"/>
        <v>0</v>
      </c>
      <c r="R48" s="3" t="str">
        <f>IF(TYPE(AH48)=1,IF($H48=R$5,$AH48*'1_Etat Initial'!$C$17,0),AH48)</f>
        <v>-</v>
      </c>
      <c r="S48" s="3" t="str">
        <f>IF(TYPE(AH48)=1,IF($H48=S$5,$AH48*'1_Etat Initial'!$D$17,0),AH48)</f>
        <v>-</v>
      </c>
      <c r="T48" s="3" t="str">
        <f>IF(TYPE(AH48)=1,IF($H48=T$5,$AH48*'1_Etat Initial'!$E$17,0),AH48)</f>
        <v>-</v>
      </c>
      <c r="U48" s="3" t="str">
        <f>IF(TYPE(AH48)=1,IF($H48=U$5,$AH48*'1_Etat Initial'!$F$17,0),AH48)</f>
        <v>-</v>
      </c>
      <c r="V48" s="49"/>
      <c r="W48" s="49"/>
      <c r="X48" s="70"/>
      <c r="Y48" s="65">
        <f>SUMPRODUCT(Q48:U48,'1_Etat Initial'!$J$28:$N$28)/1000</f>
        <v>0</v>
      </c>
      <c r="AA48" s="106">
        <v>1200</v>
      </c>
      <c r="AB48" s="107"/>
      <c r="AC48" s="3"/>
      <c r="AD48" s="134"/>
      <c r="AE48" s="49" t="str">
        <f>IF(TYPE(AH48)=1,IF($H48=R$5,$AH48*'1_Etat Initial'!$C$17,IF($H48=S$5,$AH48*'1_Etat Initial'!$D$17,IF($H48=T$5,$AH48*'1_Etat Initial'!$E$17,IF($H48=U$5,$AH48*'1_Etat Initial'!$F$17,AH48))))/F48,AH48)</f>
        <v>-</v>
      </c>
      <c r="AF48" s="71"/>
      <c r="AG48" s="104" t="s">
        <v>108</v>
      </c>
      <c r="AH48" s="103" t="s">
        <v>108</v>
      </c>
      <c r="AI48" s="108" t="s">
        <v>108</v>
      </c>
    </row>
    <row r="49" spans="1:35" ht="24" customHeight="1" x14ac:dyDescent="0.2">
      <c r="A49" s="64">
        <v>43</v>
      </c>
      <c r="B49" s="48" t="s">
        <v>2</v>
      </c>
      <c r="C49" s="47" t="s">
        <v>136</v>
      </c>
      <c r="D49" s="100" t="s">
        <v>135</v>
      </c>
      <c r="E49" s="45" t="s">
        <v>158</v>
      </c>
      <c r="F49" s="46">
        <v>1</v>
      </c>
      <c r="G49" s="105" t="s">
        <v>185</v>
      </c>
      <c r="H49" s="49"/>
      <c r="I49" s="49"/>
      <c r="J49" s="2"/>
      <c r="K49" s="2"/>
      <c r="L49" s="3" t="s">
        <v>171</v>
      </c>
      <c r="M49" s="3">
        <f t="shared" si="6"/>
        <v>0</v>
      </c>
      <c r="N49" s="3">
        <f>SUMPRODUCT(Q49:U49,'1_Etat Initial'!$J$23:$N$23)/1000</f>
        <v>0</v>
      </c>
      <c r="O49" s="3"/>
      <c r="P49" s="3" t="str">
        <f t="shared" si="2"/>
        <v>spécifique</v>
      </c>
      <c r="Q49" s="3">
        <f t="shared" si="3"/>
        <v>0</v>
      </c>
      <c r="R49" s="3" t="str">
        <f>IF(TYPE(AH49)=1,IF($H49=R$5,$AH49*'1_Etat Initial'!$C$17,0),AH49)</f>
        <v>-</v>
      </c>
      <c r="S49" s="3" t="str">
        <f>IF(TYPE(AH49)=1,IF($H49=S$5,$AH49*'1_Etat Initial'!$D$17,0),AH49)</f>
        <v>-</v>
      </c>
      <c r="T49" s="3" t="str">
        <f>IF(TYPE(AH49)=1,IF($H49=T$5,$AH49*'1_Etat Initial'!$E$17,0),AH49)</f>
        <v>-</v>
      </c>
      <c r="U49" s="3" t="str">
        <f>IF(TYPE(AH49)=1,IF($H49=U$5,$AH49*'1_Etat Initial'!$F$17,0),AH49)</f>
        <v>-</v>
      </c>
      <c r="V49" s="49"/>
      <c r="W49" s="49"/>
      <c r="X49" s="70"/>
      <c r="Y49" s="65">
        <f>SUMPRODUCT(Q49:U49,'1_Etat Initial'!$J$28:$N$28)/1000</f>
        <v>0</v>
      </c>
      <c r="AA49" s="106"/>
      <c r="AB49" s="107"/>
      <c r="AC49" s="3"/>
      <c r="AD49" s="134"/>
      <c r="AE49" s="49" t="str">
        <f>IF(TYPE(AH49)=1,IF($H49=R$5,$AH49*'1_Etat Initial'!$C$17,IF($H49=S$5,$AH49*'1_Etat Initial'!$D$17,IF($H49=T$5,$AH49*'1_Etat Initial'!$E$17,IF($H49=U$5,$AH49*'1_Etat Initial'!$F$17,AH49))))/F49,AH49)</f>
        <v>-</v>
      </c>
      <c r="AF49" s="71"/>
      <c r="AG49" s="104" t="s">
        <v>108</v>
      </c>
      <c r="AH49" s="103" t="s">
        <v>108</v>
      </c>
      <c r="AI49" s="108" t="s">
        <v>108</v>
      </c>
    </row>
    <row r="50" spans="1:35" ht="24" customHeight="1" x14ac:dyDescent="0.2">
      <c r="A50" s="64">
        <v>44</v>
      </c>
      <c r="B50" s="48" t="s">
        <v>2</v>
      </c>
      <c r="C50" s="47" t="s">
        <v>144</v>
      </c>
      <c r="D50" s="100" t="s">
        <v>135</v>
      </c>
      <c r="E50" s="45" t="s">
        <v>158</v>
      </c>
      <c r="F50" s="46">
        <v>1</v>
      </c>
      <c r="G50" s="105" t="s">
        <v>185</v>
      </c>
      <c r="H50" s="49"/>
      <c r="I50" s="49"/>
      <c r="J50" s="2"/>
      <c r="K50" s="2"/>
      <c r="L50" s="3">
        <f t="shared" si="1"/>
        <v>15000</v>
      </c>
      <c r="M50" s="3">
        <f t="shared" si="6"/>
        <v>0</v>
      </c>
      <c r="N50" s="3">
        <f>SUMPRODUCT(Q50:U50,'1_Etat Initial'!$J$23:$N$23)/1000</f>
        <v>0</v>
      </c>
      <c r="O50" s="3"/>
      <c r="P50" s="3" t="str">
        <f t="shared" si="2"/>
        <v>spécifique</v>
      </c>
      <c r="Q50" s="3">
        <f t="shared" si="3"/>
        <v>0</v>
      </c>
      <c r="R50" s="3" t="str">
        <f>IF(TYPE(AH50)=1,IF($H50=R$5,$AH50*'1_Etat Initial'!$C$17,0),AH50)</f>
        <v>-</v>
      </c>
      <c r="S50" s="3" t="str">
        <f>IF(TYPE(AH50)=1,IF($H50=S$5,$AH50*'1_Etat Initial'!$D$17,0),AH50)</f>
        <v>-</v>
      </c>
      <c r="T50" s="3" t="str">
        <f>IF(TYPE(AH50)=1,IF($H50=T$5,$AH50*'1_Etat Initial'!$E$17,0),AH50)</f>
        <v>-</v>
      </c>
      <c r="U50" s="3" t="str">
        <f>IF(TYPE(AH50)=1,IF($H50=U$5,$AH50*'1_Etat Initial'!$F$17,0),AH50)</f>
        <v>-</v>
      </c>
      <c r="V50" s="49"/>
      <c r="W50" s="49"/>
      <c r="X50" s="70"/>
      <c r="Y50" s="65">
        <f>SUMPRODUCT(Q50:U50,'1_Etat Initial'!$J$28:$N$28)/1000</f>
        <v>0</v>
      </c>
      <c r="AA50" s="106">
        <v>15000</v>
      </c>
      <c r="AB50" s="107"/>
      <c r="AC50" s="3"/>
      <c r="AD50" s="134"/>
      <c r="AE50" s="49" t="str">
        <f>IF(TYPE(AH50)=1,IF($H50=R$5,$AH50*'1_Etat Initial'!$C$17,IF($H50=S$5,$AH50*'1_Etat Initial'!$D$17,IF($H50=T$5,$AH50*'1_Etat Initial'!$E$17,IF($H50=U$5,$AH50*'1_Etat Initial'!$F$17,AH50))))/F50,AH50)</f>
        <v>-</v>
      </c>
      <c r="AF50" s="71"/>
      <c r="AG50" s="104" t="s">
        <v>108</v>
      </c>
      <c r="AH50" s="103" t="s">
        <v>108</v>
      </c>
      <c r="AI50" s="108" t="s">
        <v>108</v>
      </c>
    </row>
    <row r="51" spans="1:35" ht="24" customHeight="1" x14ac:dyDescent="0.2">
      <c r="A51" s="64">
        <v>45</v>
      </c>
      <c r="B51" s="48" t="s">
        <v>2</v>
      </c>
      <c r="C51" s="47" t="s">
        <v>5</v>
      </c>
      <c r="D51" s="100" t="s">
        <v>135</v>
      </c>
      <c r="E51" s="45" t="s">
        <v>158</v>
      </c>
      <c r="F51" s="46">
        <v>1</v>
      </c>
      <c r="G51" s="105" t="s">
        <v>185</v>
      </c>
      <c r="H51" s="49"/>
      <c r="I51" s="49"/>
      <c r="J51" s="2"/>
      <c r="K51" s="2"/>
      <c r="L51" s="3" t="str">
        <f t="shared" si="1"/>
        <v>spécifique</v>
      </c>
      <c r="M51" s="3">
        <f t="shared" si="6"/>
        <v>0</v>
      </c>
      <c r="N51" s="3">
        <f>SUMPRODUCT(Q51:U51,'1_Etat Initial'!$J$23:$N$23)/1000</f>
        <v>0</v>
      </c>
      <c r="O51" s="3"/>
      <c r="P51" s="3" t="str">
        <f>IF((N51+O51)=0,"spécifique",IF(L51="spécifique","spécifique",(L51+M51)/(N51+O51)))</f>
        <v>spécifique</v>
      </c>
      <c r="Q51" s="3">
        <f t="shared" si="3"/>
        <v>0</v>
      </c>
      <c r="R51" s="3" t="str">
        <f>IF(TYPE(AH51)=1,IF($H51=R$5,$AH51*'1_Etat Initial'!$C$17,0),AH51)</f>
        <v>-</v>
      </c>
      <c r="S51" s="3" t="str">
        <f>IF(TYPE(AH51)=1,IF($H51=S$5,$AH51*'1_Etat Initial'!$D$17,0),AH51)</f>
        <v>-</v>
      </c>
      <c r="T51" s="3" t="str">
        <f>IF(TYPE(AH51)=1,IF($H51=T$5,$AH51*'1_Etat Initial'!$E$17,0),AH51)</f>
        <v>-</v>
      </c>
      <c r="U51" s="3" t="str">
        <f>IF(TYPE(AH51)=1,IF($H51=U$5,$AH51*'1_Etat Initial'!$F$17,0),AH51)</f>
        <v>-</v>
      </c>
      <c r="V51" s="49"/>
      <c r="W51" s="49"/>
      <c r="X51" s="70"/>
      <c r="Y51" s="65">
        <f>SUMPRODUCT(Q51:U51,'1_Etat Initial'!$J$28:$N$28)/1000</f>
        <v>0</v>
      </c>
      <c r="AA51" s="106" t="s">
        <v>171</v>
      </c>
      <c r="AB51" s="107"/>
      <c r="AC51" s="3"/>
      <c r="AD51" s="134"/>
      <c r="AE51" s="49" t="str">
        <f>IF(TYPE(AH51)=1,IF($H51=R$5,$AH51*'1_Etat Initial'!$C$17,IF($H51=S$5,$AH51*'1_Etat Initial'!$D$17,IF($H51=T$5,$AH51*'1_Etat Initial'!$E$17,IF($H51=U$5,$AH51*'1_Etat Initial'!$F$17,AH51))))/F51,AH51)</f>
        <v>-</v>
      </c>
      <c r="AF51" s="71"/>
      <c r="AG51" s="104" t="s">
        <v>108</v>
      </c>
      <c r="AH51" s="103" t="s">
        <v>108</v>
      </c>
      <c r="AI51" s="108" t="s">
        <v>108</v>
      </c>
    </row>
    <row r="52" spans="1:35" ht="24" customHeight="1" x14ac:dyDescent="0.2">
      <c r="A52" s="64">
        <v>46</v>
      </c>
      <c r="B52" s="48" t="s">
        <v>2</v>
      </c>
      <c r="C52" s="47" t="s">
        <v>137</v>
      </c>
      <c r="D52" s="100" t="s">
        <v>135</v>
      </c>
      <c r="E52" s="45" t="s">
        <v>158</v>
      </c>
      <c r="F52" s="46">
        <v>1</v>
      </c>
      <c r="G52" s="105" t="s">
        <v>185</v>
      </c>
      <c r="H52" s="49"/>
      <c r="I52" s="49"/>
      <c r="J52" s="2"/>
      <c r="K52" s="2"/>
      <c r="L52" s="3" t="str">
        <f t="shared" si="1"/>
        <v>spécifique</v>
      </c>
      <c r="M52" s="3">
        <f t="shared" si="6"/>
        <v>0</v>
      </c>
      <c r="N52" s="3">
        <f>SUMPRODUCT(Q52:U52,'1_Etat Initial'!$J$23:$N$23)/1000</f>
        <v>0</v>
      </c>
      <c r="O52" s="3"/>
      <c r="P52" s="3" t="str">
        <f t="shared" si="2"/>
        <v>spécifique</v>
      </c>
      <c r="Q52" s="3">
        <f t="shared" si="3"/>
        <v>0</v>
      </c>
      <c r="R52" s="3" t="str">
        <f>IF(TYPE(AH52)=1,IF($H52=R$5,$AH52*'1_Etat Initial'!$C$17,0),AH52)</f>
        <v>-</v>
      </c>
      <c r="S52" s="3" t="str">
        <f>IF(TYPE(AH52)=1,IF($H52=S$5,$AH52*'1_Etat Initial'!$D$17,0),AH52)</f>
        <v>-</v>
      </c>
      <c r="T52" s="3" t="str">
        <f>IF(TYPE(AH52)=1,IF($H52=T$5,$AH52*'1_Etat Initial'!$E$17,0),AH52)</f>
        <v>-</v>
      </c>
      <c r="U52" s="3" t="str">
        <f>IF(TYPE(AH52)=1,IF($H52=U$5,$AH52*'1_Etat Initial'!$F$17,0),AH52)</f>
        <v>-</v>
      </c>
      <c r="V52" s="49"/>
      <c r="W52" s="49"/>
      <c r="X52" s="70"/>
      <c r="Y52" s="65">
        <f>SUMPRODUCT(Q52:U52,'1_Etat Initial'!$J$28:$N$28)/1000</f>
        <v>0</v>
      </c>
      <c r="AA52" s="106" t="s">
        <v>171</v>
      </c>
      <c r="AB52" s="107"/>
      <c r="AC52" s="3"/>
      <c r="AD52" s="134"/>
      <c r="AE52" s="49" t="str">
        <f>IF(TYPE(AH52)=1,IF($H52=R$5,$AH52*'1_Etat Initial'!$C$17,IF($H52=S$5,$AH52*'1_Etat Initial'!$D$17,IF($H52=T$5,$AH52*'1_Etat Initial'!$E$17,IF($H52=U$5,$AH52*'1_Etat Initial'!$F$17,AH52))))/F52,AH52)</f>
        <v>-</v>
      </c>
      <c r="AF52" s="71"/>
      <c r="AG52" s="104" t="s">
        <v>108</v>
      </c>
      <c r="AH52" s="103" t="s">
        <v>108</v>
      </c>
      <c r="AI52" s="108" t="s">
        <v>108</v>
      </c>
    </row>
    <row r="53" spans="1:35" s="50" customFormat="1" ht="24" customHeight="1" x14ac:dyDescent="0.25">
      <c r="A53" s="78"/>
      <c r="B53" s="79"/>
      <c r="C53" s="84" t="s">
        <v>82</v>
      </c>
      <c r="D53" s="80"/>
      <c r="E53" s="80"/>
      <c r="F53" s="76" t="s">
        <v>108</v>
      </c>
      <c r="G53" s="76" t="s">
        <v>108</v>
      </c>
      <c r="H53" s="76" t="s">
        <v>108</v>
      </c>
      <c r="I53" s="76" t="s">
        <v>108</v>
      </c>
      <c r="J53" s="76" t="s">
        <v>108</v>
      </c>
      <c r="K53" s="76" t="s">
        <v>108</v>
      </c>
      <c r="L53" s="81">
        <f>SUM(L7:L52)</f>
        <v>160056.54999999999</v>
      </c>
      <c r="M53" s="81">
        <f>SUM(M7:M52)</f>
        <v>139400</v>
      </c>
      <c r="N53" s="81">
        <f>SUM(N7:N52)</f>
        <v>0</v>
      </c>
      <c r="O53" s="81">
        <f>SUM(O7:O52)</f>
        <v>0</v>
      </c>
      <c r="P53" s="76" t="s">
        <v>108</v>
      </c>
      <c r="Q53" s="81">
        <f t="shared" ref="Q53:Y53" si="7">SUM(Q7:Q52)</f>
        <v>210.04</v>
      </c>
      <c r="R53" s="81">
        <f t="shared" si="7"/>
        <v>0</v>
      </c>
      <c r="S53" s="81">
        <f t="shared" si="7"/>
        <v>0</v>
      </c>
      <c r="T53" s="81">
        <f t="shared" si="7"/>
        <v>0</v>
      </c>
      <c r="U53" s="81">
        <f t="shared" si="7"/>
        <v>0</v>
      </c>
      <c r="V53" s="81">
        <f t="shared" si="7"/>
        <v>0</v>
      </c>
      <c r="W53" s="81">
        <f t="shared" si="7"/>
        <v>0</v>
      </c>
      <c r="X53" s="81">
        <f t="shared" si="7"/>
        <v>0</v>
      </c>
      <c r="Y53" s="82">
        <f t="shared" si="7"/>
        <v>15.753</v>
      </c>
      <c r="Z53" s="83"/>
      <c r="AA53" s="75" t="s">
        <v>108</v>
      </c>
      <c r="AB53" s="76" t="s">
        <v>108</v>
      </c>
      <c r="AC53" s="76" t="s">
        <v>108</v>
      </c>
      <c r="AD53" s="76" t="s">
        <v>108</v>
      </c>
      <c r="AE53" s="76" t="s">
        <v>108</v>
      </c>
      <c r="AF53" s="77" t="s">
        <v>108</v>
      </c>
      <c r="AG53" s="76" t="s">
        <v>108</v>
      </c>
      <c r="AH53" s="76" t="s">
        <v>108</v>
      </c>
      <c r="AI53" s="77" t="s">
        <v>108</v>
      </c>
    </row>
  </sheetData>
  <autoFilter ref="A6:AF53"/>
  <mergeCells count="34">
    <mergeCell ref="AG5:AG6"/>
    <mergeCell ref="AH5:AH6"/>
    <mergeCell ref="AI5:AI6"/>
    <mergeCell ref="Q4:U4"/>
    <mergeCell ref="V4:Y4"/>
    <mergeCell ref="AA4:AF4"/>
    <mergeCell ref="W5:W6"/>
    <mergeCell ref="AF5:AF6"/>
    <mergeCell ref="AE5:AE6"/>
    <mergeCell ref="AC5:AC6"/>
    <mergeCell ref="AA5:AA6"/>
    <mergeCell ref="AB5:AB6"/>
    <mergeCell ref="AD5:AD6"/>
    <mergeCell ref="A4:A6"/>
    <mergeCell ref="B4:B6"/>
    <mergeCell ref="C4:C6"/>
    <mergeCell ref="F5:F6"/>
    <mergeCell ref="G5:G6"/>
    <mergeCell ref="F4:K4"/>
    <mergeCell ref="D5:D6"/>
    <mergeCell ref="H5:H6"/>
    <mergeCell ref="I5:I6"/>
    <mergeCell ref="J5:J6"/>
    <mergeCell ref="K5:K6"/>
    <mergeCell ref="B2:G2"/>
    <mergeCell ref="O5:O6"/>
    <mergeCell ref="P5:P6"/>
    <mergeCell ref="V5:V6"/>
    <mergeCell ref="Y5:Y6"/>
    <mergeCell ref="X5:X6"/>
    <mergeCell ref="L4:P4"/>
    <mergeCell ref="M5:M6"/>
    <mergeCell ref="N5:N6"/>
    <mergeCell ref="L5:L6"/>
  </mergeCells>
  <conditionalFormatting sqref="AG8:AI44 AF7:AI7 AF8:AF21 AA7:AE21 Y7:Y52 A7:E52 G7:G52 AA22:AI52 L7:U52">
    <cfRule type="expression" dxfId="25" priority="49" stopIfTrue="1">
      <formula>MOD(ROW(A7),2)=0</formula>
    </cfRule>
    <cfRule type="expression" dxfId="24" priority="50" stopIfTrue="1">
      <formula>MOD(ROW(A7),2)=1</formula>
    </cfRule>
  </conditionalFormatting>
  <conditionalFormatting sqref="V7:X52 F7:F11 F19 F32 F34 F37:F38 F41:F43 F45:F46 F48 F13:F14">
    <cfRule type="expression" dxfId="23" priority="31" stopIfTrue="1">
      <formula>MOD(ROW(F7),2)=0</formula>
    </cfRule>
    <cfRule type="expression" dxfId="22" priority="32" stopIfTrue="1">
      <formula>MOD(ROW(F7),2)=1</formula>
    </cfRule>
  </conditionalFormatting>
  <conditionalFormatting sqref="H7:K52">
    <cfRule type="expression" dxfId="21" priority="29" stopIfTrue="1">
      <formula>MOD(ROW(H7),2)=0</formula>
    </cfRule>
    <cfRule type="expression" dxfId="20" priority="30" stopIfTrue="1">
      <formula>MOD(ROW(H7),2)=1</formula>
    </cfRule>
  </conditionalFormatting>
  <conditionalFormatting sqref="AH45">
    <cfRule type="expression" dxfId="19" priority="19" stopIfTrue="1">
      <formula>MOD(ROW(AH45),2)=0</formula>
    </cfRule>
    <cfRule type="expression" dxfId="18" priority="20" stopIfTrue="1">
      <formula>MOD(ROW(AH45),2)=1</formula>
    </cfRule>
  </conditionalFormatting>
  <conditionalFormatting sqref="F15:F18">
    <cfRule type="expression" dxfId="17" priority="17" stopIfTrue="1">
      <formula>MOD(ROW(F15),2)=0</formula>
    </cfRule>
    <cfRule type="expression" dxfId="16" priority="18" stopIfTrue="1">
      <formula>MOD(ROW(F15),2)=1</formula>
    </cfRule>
  </conditionalFormatting>
  <conditionalFormatting sqref="F20:F31">
    <cfRule type="expression" dxfId="15" priority="15" stopIfTrue="1">
      <formula>MOD(ROW(F20),2)=0</formula>
    </cfRule>
    <cfRule type="expression" dxfId="14" priority="16" stopIfTrue="1">
      <formula>MOD(ROW(F20),2)=1</formula>
    </cfRule>
  </conditionalFormatting>
  <conditionalFormatting sqref="F33">
    <cfRule type="expression" dxfId="13" priority="13" stopIfTrue="1">
      <formula>MOD(ROW(F33),2)=0</formula>
    </cfRule>
    <cfRule type="expression" dxfId="12" priority="14" stopIfTrue="1">
      <formula>MOD(ROW(F33),2)=1</formula>
    </cfRule>
  </conditionalFormatting>
  <conditionalFormatting sqref="F35:F36">
    <cfRule type="expression" dxfId="11" priority="11" stopIfTrue="1">
      <formula>MOD(ROW(F35),2)=0</formula>
    </cfRule>
    <cfRule type="expression" dxfId="10" priority="12" stopIfTrue="1">
      <formula>MOD(ROW(F35),2)=1</formula>
    </cfRule>
  </conditionalFormatting>
  <conditionalFormatting sqref="F39:F40">
    <cfRule type="expression" dxfId="9" priority="9" stopIfTrue="1">
      <formula>MOD(ROW(F39),2)=0</formula>
    </cfRule>
    <cfRule type="expression" dxfId="8" priority="10" stopIfTrue="1">
      <formula>MOD(ROW(F39),2)=1</formula>
    </cfRule>
  </conditionalFormatting>
  <conditionalFormatting sqref="F44">
    <cfRule type="expression" dxfId="7" priority="7" stopIfTrue="1">
      <formula>MOD(ROW(F44),2)=0</formula>
    </cfRule>
    <cfRule type="expression" dxfId="6" priority="8" stopIfTrue="1">
      <formula>MOD(ROW(F44),2)=1</formula>
    </cfRule>
  </conditionalFormatting>
  <conditionalFormatting sqref="F47">
    <cfRule type="expression" dxfId="5" priority="5" stopIfTrue="1">
      <formula>MOD(ROW(F47),2)=0</formula>
    </cfRule>
    <cfRule type="expression" dxfId="4" priority="6" stopIfTrue="1">
      <formula>MOD(ROW(F47),2)=1</formula>
    </cfRule>
  </conditionalFormatting>
  <conditionalFormatting sqref="F49:F52">
    <cfRule type="expression" dxfId="3" priority="3" stopIfTrue="1">
      <formula>MOD(ROW(F49),2)=0</formula>
    </cfRule>
    <cfRule type="expression" dxfId="2" priority="4" stopIfTrue="1">
      <formula>MOD(ROW(F49),2)=1</formula>
    </cfRule>
  </conditionalFormatting>
  <conditionalFormatting sqref="F12">
    <cfRule type="expression" dxfId="1" priority="1" stopIfTrue="1">
      <formula>MOD(ROW(F12),2)=0</formula>
    </cfRule>
    <cfRule type="expression" dxfId="0" priority="2" stopIfTrue="1">
      <formula>MOD(ROW(F12),2)=1</formula>
    </cfRule>
  </conditionalFormatting>
  <dataValidations count="1">
    <dataValidation type="list" allowBlank="1" showInputMessage="1" showErrorMessage="1" sqref="E7:E52">
      <formula1>"oui,non"</formula1>
    </dataValidation>
  </dataValidations>
  <pageMargins left="0.23622047244094491" right="0.23622047244094491" top="0.74803149606299213" bottom="0.74803149606299213" header="0.31496062992125984" footer="0.31496062992125984"/>
  <pageSetup paperSize="8" scale="44" fitToHeight="0" orientation="landscape" r:id="rId1"/>
  <headerFooter>
    <oddHeader>&amp;CCPU | PEEC 2030</oddHeader>
    <oddFooter>&amp;L&amp;G&amp;CFévrier 2019 | Page &amp;P / &amp;N&amp;R&amp;G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liste!$A$1:$A$7</xm:f>
          </x14:formula1>
          <xm:sqref>B7:B52</xm:sqref>
        </x14:dataValidation>
        <x14:dataValidation type="list" allowBlank="1" showInputMessage="1" showErrorMessage="1">
          <x14:formula1>
            <xm:f>liste!$F$1:$F$4</xm:f>
          </x14:formula1>
          <xm:sqref>I7:I52</xm:sqref>
        </x14:dataValidation>
        <x14:dataValidation type="list" allowBlank="1" showInputMessage="1" showErrorMessage="1">
          <x14:formula1>
            <xm:f>liste!$H$1:$H$3</xm:f>
          </x14:formula1>
          <xm:sqref>X7:X52</xm:sqref>
        </x14:dataValidation>
        <x14:dataValidation type="list" allowBlank="1" showInputMessage="1" showErrorMessage="1">
          <x14:formula1>
            <xm:f>liste!$G$2:$G$5</xm:f>
          </x14:formula1>
          <xm:sqref>H7:H52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tabColor rgb="FF9C9EEE"/>
    <pageSetUpPr fitToPage="1"/>
  </sheetPr>
  <dimension ref="A1:Q59"/>
  <sheetViews>
    <sheetView workbookViewId="0">
      <selection activeCell="B39" sqref="B39:F39"/>
    </sheetView>
  </sheetViews>
  <sheetFormatPr baseColWidth="10" defaultRowHeight="16.5" x14ac:dyDescent="0.3"/>
  <cols>
    <col min="1" max="1" width="6.140625" style="12" bestFit="1" customWidth="1"/>
    <col min="2" max="8" width="12.7109375" style="12" customWidth="1"/>
    <col min="9" max="9" width="2.7109375" style="12" customWidth="1"/>
    <col min="10" max="13" width="12.7109375" style="12" customWidth="1"/>
    <col min="14" max="14" width="11.42578125" style="12"/>
    <col min="15" max="15" width="2.7109375" style="12" customWidth="1"/>
    <col min="16" max="16384" width="11.42578125" style="12"/>
  </cols>
  <sheetData>
    <row r="1" spans="1:17" s="17" customFormat="1" ht="27" x14ac:dyDescent="0.5">
      <c r="A1" s="19" t="s">
        <v>109</v>
      </c>
      <c r="B1" s="20" t="s">
        <v>110</v>
      </c>
    </row>
    <row r="2" spans="1:17" x14ac:dyDescent="0.3">
      <c r="B2" s="22" t="s">
        <v>92</v>
      </c>
    </row>
    <row r="3" spans="1:17" x14ac:dyDescent="0.3">
      <c r="B3" s="22"/>
    </row>
    <row r="4" spans="1:17" s="93" customFormat="1" ht="17.25" thickBot="1" x14ac:dyDescent="0.35">
      <c r="B4" s="94" t="s">
        <v>121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5"/>
      <c r="P4" s="95"/>
      <c r="Q4" s="95"/>
    </row>
    <row r="5" spans="1:17" s="18" customFormat="1" x14ac:dyDescent="0.3">
      <c r="B5" s="22"/>
      <c r="C5" s="21"/>
      <c r="D5" s="21"/>
      <c r="E5" s="21"/>
    </row>
    <row r="6" spans="1:17" ht="16.5" customHeight="1" x14ac:dyDescent="0.3">
      <c r="B6" s="136" t="s">
        <v>125</v>
      </c>
      <c r="C6" s="137"/>
      <c r="D6" s="138"/>
      <c r="E6" s="21"/>
    </row>
    <row r="7" spans="1:17" ht="24.95" customHeight="1" x14ac:dyDescent="0.3">
      <c r="B7" s="68" t="s">
        <v>123</v>
      </c>
      <c r="C7" s="68" t="s">
        <v>124</v>
      </c>
      <c r="D7" s="92" t="s">
        <v>126</v>
      </c>
      <c r="E7" s="21"/>
      <c r="F7" s="18"/>
      <c r="G7" s="18"/>
      <c r="H7" s="18"/>
    </row>
    <row r="8" spans="1:17" x14ac:dyDescent="0.3">
      <c r="B8" s="97">
        <f>MIN('2_Plan d''actions'!J7:J52)</f>
        <v>0</v>
      </c>
      <c r="C8" s="97">
        <f>MAX('2_Plan d''actions'!K7:K52)</f>
        <v>0</v>
      </c>
      <c r="D8" s="88">
        <f>DATEDIF(B8,C8,"m")</f>
        <v>0</v>
      </c>
      <c r="E8" s="21"/>
      <c r="F8" s="18"/>
      <c r="G8" s="18"/>
      <c r="H8" s="18"/>
    </row>
    <row r="9" spans="1:17" s="18" customFormat="1" x14ac:dyDescent="0.3">
      <c r="B9" s="22"/>
      <c r="C9" s="21"/>
      <c r="D9" s="21"/>
    </row>
    <row r="10" spans="1:17" ht="16.5" customHeight="1" x14ac:dyDescent="0.3">
      <c r="B10" s="136" t="s">
        <v>37</v>
      </c>
      <c r="C10" s="137"/>
      <c r="D10" s="137"/>
      <c r="E10" s="137"/>
      <c r="F10" s="137"/>
      <c r="G10" s="138"/>
      <c r="J10" s="136" t="s">
        <v>129</v>
      </c>
      <c r="K10" s="137"/>
      <c r="L10" s="137"/>
      <c r="M10" s="138"/>
      <c r="N10" s="18"/>
      <c r="O10" s="18"/>
    </row>
    <row r="11" spans="1:17" ht="24.95" customHeight="1" x14ac:dyDescent="0.3">
      <c r="B11" s="68" t="s">
        <v>38</v>
      </c>
      <c r="C11" s="68" t="s">
        <v>122</v>
      </c>
      <c r="D11" s="51" t="s">
        <v>101</v>
      </c>
      <c r="E11" s="62" t="s">
        <v>39</v>
      </c>
      <c r="F11" s="62" t="s">
        <v>40</v>
      </c>
      <c r="G11" s="62" t="s">
        <v>41</v>
      </c>
      <c r="J11" s="68" t="s">
        <v>130</v>
      </c>
      <c r="K11" s="68" t="s">
        <v>131</v>
      </c>
      <c r="L11" s="51" t="s">
        <v>132</v>
      </c>
      <c r="M11" s="62" t="s">
        <v>133</v>
      </c>
      <c r="N11" s="18"/>
      <c r="O11" s="18"/>
    </row>
    <row r="12" spans="1:17" x14ac:dyDescent="0.3">
      <c r="B12" s="88">
        <f>'2_Plan d''actions'!L53</f>
        <v>160056.54999999999</v>
      </c>
      <c r="C12" s="88">
        <f>B12*(1+J12+K12+L12+M12)</f>
        <v>160056.54999999999</v>
      </c>
      <c r="D12" s="88">
        <f>'2_Plan d''actions'!M53</f>
        <v>139400</v>
      </c>
      <c r="E12" s="88">
        <f>'2_Plan d''actions'!N53</f>
        <v>0</v>
      </c>
      <c r="F12" s="88">
        <f>'2_Plan d''actions'!O53</f>
        <v>0</v>
      </c>
      <c r="G12" s="96" t="e">
        <f>(C12+D12)/(E12+F12)</f>
        <v>#DIV/0!</v>
      </c>
      <c r="J12" s="11">
        <v>0</v>
      </c>
      <c r="K12" s="11">
        <v>0</v>
      </c>
      <c r="L12" s="11">
        <v>0</v>
      </c>
      <c r="M12" s="11">
        <v>0</v>
      </c>
      <c r="N12" s="18"/>
      <c r="O12" s="18"/>
    </row>
    <row r="13" spans="1:17" x14ac:dyDescent="0.3">
      <c r="B13" s="22"/>
    </row>
    <row r="14" spans="1:17" s="93" customFormat="1" ht="17.25" thickBot="1" x14ac:dyDescent="0.35">
      <c r="B14" s="94" t="s">
        <v>120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5"/>
      <c r="P14" s="95"/>
      <c r="Q14" s="95"/>
    </row>
    <row r="15" spans="1:17" s="18" customFormat="1" x14ac:dyDescent="0.3">
      <c r="B15" s="22"/>
      <c r="C15" s="21"/>
      <c r="D15" s="21"/>
      <c r="E15" s="21"/>
    </row>
    <row r="16" spans="1:17" ht="16.5" customHeight="1" x14ac:dyDescent="0.3">
      <c r="B16" s="136" t="s">
        <v>72</v>
      </c>
      <c r="C16" s="137"/>
      <c r="D16" s="137"/>
      <c r="E16" s="25"/>
    </row>
    <row r="17" spans="1:8" ht="24.95" customHeight="1" x14ac:dyDescent="0.3">
      <c r="B17" s="68" t="s">
        <v>73</v>
      </c>
      <c r="C17" s="51" t="s">
        <v>74</v>
      </c>
      <c r="D17" s="51" t="s">
        <v>76</v>
      </c>
      <c r="E17" s="62" t="s">
        <v>75</v>
      </c>
    </row>
    <row r="18" spans="1:8" x14ac:dyDescent="0.3">
      <c r="B18" s="88">
        <f>'1_Etat Initial'!B6-'2_Plan d''actions'!W53</f>
        <v>1000</v>
      </c>
      <c r="C18" s="6"/>
      <c r="D18" s="6">
        <f>'1_Etat Initial'!D6</f>
        <v>0</v>
      </c>
      <c r="E18" s="89" t="str">
        <f>'1_Etat Initial'!E6</f>
        <v>Lille</v>
      </c>
    </row>
    <row r="19" spans="1:8" s="86" customFormat="1" ht="12" x14ac:dyDescent="0.2">
      <c r="B19" s="87">
        <f>(B18-'1_Etat Initial'!B6)/'1_Etat Initial'!B6</f>
        <v>0</v>
      </c>
      <c r="C19" s="87"/>
      <c r="D19" s="87"/>
      <c r="E19" s="87"/>
    </row>
    <row r="21" spans="1:8" ht="16.5" customHeight="1" x14ac:dyDescent="0.3">
      <c r="B21" s="136" t="s">
        <v>59</v>
      </c>
      <c r="C21" s="137"/>
      <c r="D21" s="137"/>
      <c r="E21" s="137"/>
      <c r="F21" s="138"/>
    </row>
    <row r="22" spans="1:8" ht="24.95" customHeight="1" x14ac:dyDescent="0.3">
      <c r="B22" s="68" t="s">
        <v>54</v>
      </c>
      <c r="C22" s="51" t="s">
        <v>55</v>
      </c>
      <c r="D22" s="51" t="s">
        <v>77</v>
      </c>
      <c r="E22" s="51" t="s">
        <v>78</v>
      </c>
      <c r="F22" s="62" t="s">
        <v>79</v>
      </c>
    </row>
    <row r="23" spans="1:8" ht="21.75" x14ac:dyDescent="0.3">
      <c r="A23" s="35" t="s">
        <v>83</v>
      </c>
      <c r="B23" s="90">
        <f>'1_Etat Initial'!B10</f>
        <v>0.19900000000000001</v>
      </c>
      <c r="C23" s="90">
        <f>'1_Etat Initial'!C10</f>
        <v>0</v>
      </c>
      <c r="D23" s="90">
        <f>'1_Etat Initial'!D10</f>
        <v>0</v>
      </c>
      <c r="E23" s="90">
        <f>'1_Etat Initial'!E10</f>
        <v>0</v>
      </c>
      <c r="F23" s="90">
        <f>'1_Etat Initial'!F10</f>
        <v>0</v>
      </c>
    </row>
    <row r="24" spans="1:8" ht="21.75" customHeight="1" x14ac:dyDescent="0.3">
      <c r="A24" s="35" t="s">
        <v>84</v>
      </c>
      <c r="B24" s="90">
        <f>'1_Etat Initial'!B11</f>
        <v>0.113</v>
      </c>
      <c r="C24" s="90">
        <f>'1_Etat Initial'!C11</f>
        <v>0</v>
      </c>
      <c r="D24" s="90">
        <f>'1_Etat Initial'!D11</f>
        <v>1</v>
      </c>
      <c r="E24" s="90">
        <f>'1_Etat Initial'!E11</f>
        <v>0</v>
      </c>
      <c r="F24" s="90">
        <f>'1_Etat Initial'!F11</f>
        <v>0</v>
      </c>
    </row>
    <row r="25" spans="1:8" ht="21.75" customHeight="1" x14ac:dyDescent="0.3">
      <c r="A25" s="35" t="s">
        <v>85</v>
      </c>
      <c r="B25" s="90">
        <f>'1_Etat Initial'!B12</f>
        <v>0.68799999999999994</v>
      </c>
      <c r="C25" s="90">
        <f>'1_Etat Initial'!C12</f>
        <v>0</v>
      </c>
      <c r="D25" s="90">
        <f>'1_Etat Initial'!D12</f>
        <v>0</v>
      </c>
      <c r="E25" s="90">
        <f>'1_Etat Initial'!E12</f>
        <v>0</v>
      </c>
      <c r="F25" s="90">
        <f>'1_Etat Initial'!F12</f>
        <v>0</v>
      </c>
    </row>
    <row r="27" spans="1:8" ht="16.5" customHeight="1" x14ac:dyDescent="0.3">
      <c r="B27" s="136" t="s">
        <v>57</v>
      </c>
      <c r="C27" s="137"/>
      <c r="D27" s="137"/>
      <c r="E27" s="137"/>
      <c r="F27" s="137"/>
      <c r="G27" s="27"/>
      <c r="H27" s="27"/>
    </row>
    <row r="28" spans="1:8" ht="12.6" customHeight="1" x14ac:dyDescent="0.3">
      <c r="B28" s="69" t="s">
        <v>54</v>
      </c>
      <c r="C28" s="52" t="s">
        <v>55</v>
      </c>
      <c r="D28" s="52" t="str">
        <f>$D$22</f>
        <v>Autre 1</v>
      </c>
      <c r="E28" s="52" t="str">
        <f>$E$22</f>
        <v>Autre 2</v>
      </c>
      <c r="F28" s="52" t="str">
        <f>$F$22</f>
        <v>Autre 3</v>
      </c>
      <c r="G28" s="52" t="s">
        <v>82</v>
      </c>
      <c r="H28" s="63" t="s">
        <v>82</v>
      </c>
    </row>
    <row r="29" spans="1:8" ht="12.6" customHeight="1" x14ac:dyDescent="0.3">
      <c r="B29" s="24" t="s">
        <v>80</v>
      </c>
      <c r="C29" s="30" t="s">
        <v>80</v>
      </c>
      <c r="D29" s="30" t="s">
        <v>80</v>
      </c>
      <c r="E29" s="30" t="s">
        <v>80</v>
      </c>
      <c r="F29" s="30" t="s">
        <v>80</v>
      </c>
      <c r="G29" s="30" t="s">
        <v>80</v>
      </c>
      <c r="H29" s="32" t="s">
        <v>86</v>
      </c>
    </row>
    <row r="30" spans="1:8" x14ac:dyDescent="0.3">
      <c r="B30" s="88">
        <f>'1_Etat Initial'!B17-'2_Plan d''actions'!Q53</f>
        <v>-210.04</v>
      </c>
      <c r="C30" s="88">
        <f>'1_Etat Initial'!C17-'2_Plan d''actions'!R53</f>
        <v>0</v>
      </c>
      <c r="D30" s="88">
        <f>'1_Etat Initial'!D17-'2_Plan d''actions'!S53</f>
        <v>0</v>
      </c>
      <c r="E30" s="88">
        <f>'1_Etat Initial'!E17-'2_Plan d''actions'!T53</f>
        <v>0</v>
      </c>
      <c r="F30" s="88">
        <f>'1_Etat Initial'!F17-'2_Plan d''actions'!U53</f>
        <v>0</v>
      </c>
      <c r="G30" s="9">
        <f>SUM(B30:E30)</f>
        <v>-210.04</v>
      </c>
      <c r="H30" s="9">
        <f>G30/$B$18</f>
        <v>-0.21004</v>
      </c>
    </row>
    <row r="31" spans="1:8" s="86" customFormat="1" ht="12" x14ac:dyDescent="0.2">
      <c r="B31" s="87" t="e">
        <f>(B30-'1_Etat Initial'!B17)/'1_Etat Initial'!B17</f>
        <v>#DIV/0!</v>
      </c>
      <c r="C31" s="87" t="e">
        <f>(C30-'1_Etat Initial'!C17)/'1_Etat Initial'!C17</f>
        <v>#DIV/0!</v>
      </c>
      <c r="D31" s="87" t="e">
        <f>(D30-'1_Etat Initial'!D17)/'1_Etat Initial'!D17</f>
        <v>#DIV/0!</v>
      </c>
      <c r="E31" s="87" t="e">
        <f>(E30-'1_Etat Initial'!E17)/'1_Etat Initial'!E17</f>
        <v>#DIV/0!</v>
      </c>
      <c r="F31" s="86" t="e">
        <f>(F30-'1_Etat Initial'!F17)/'1_Etat Initial'!F17</f>
        <v>#DIV/0!</v>
      </c>
      <c r="G31" s="86" t="e">
        <f>(G30-'1_Etat Initial'!G17)/'1_Etat Initial'!G17</f>
        <v>#DIV/0!</v>
      </c>
      <c r="H31" s="86" t="e">
        <f>(H30-'1_Etat Initial'!H17)/'1_Etat Initial'!H17</f>
        <v>#DIV/0!</v>
      </c>
    </row>
    <row r="33" spans="2:14" ht="16.5" customHeight="1" x14ac:dyDescent="0.3">
      <c r="B33" s="136" t="s">
        <v>68</v>
      </c>
      <c r="C33" s="137"/>
      <c r="D33" s="137"/>
      <c r="E33" s="137"/>
      <c r="F33" s="137"/>
      <c r="G33" s="27"/>
      <c r="H33" s="27"/>
      <c r="J33" s="136" t="s">
        <v>58</v>
      </c>
      <c r="K33" s="137"/>
      <c r="L33" s="137"/>
      <c r="M33" s="137"/>
      <c r="N33" s="138"/>
    </row>
    <row r="34" spans="2:14" ht="12.6" customHeight="1" x14ac:dyDescent="0.3">
      <c r="B34" s="69" t="s">
        <v>54</v>
      </c>
      <c r="C34" s="52" t="s">
        <v>55</v>
      </c>
      <c r="D34" s="52" t="str">
        <f>$D$22</f>
        <v>Autre 1</v>
      </c>
      <c r="E34" s="52" t="str">
        <f>$E$22</f>
        <v>Autre 2</v>
      </c>
      <c r="F34" s="52" t="str">
        <f>$F$22</f>
        <v>Autre 3</v>
      </c>
      <c r="G34" s="52" t="s">
        <v>82</v>
      </c>
      <c r="H34" s="63" t="s">
        <v>82</v>
      </c>
      <c r="J34" s="69" t="s">
        <v>54</v>
      </c>
      <c r="K34" s="52" t="s">
        <v>55</v>
      </c>
      <c r="L34" s="52" t="str">
        <f>$D$22</f>
        <v>Autre 1</v>
      </c>
      <c r="M34" s="52" t="str">
        <f>$E$22</f>
        <v>Autre 2</v>
      </c>
      <c r="N34" s="63" t="str">
        <f>$F$22</f>
        <v>Autre 3</v>
      </c>
    </row>
    <row r="35" spans="2:14" ht="12.6" customHeight="1" x14ac:dyDescent="0.3">
      <c r="B35" s="24" t="s">
        <v>81</v>
      </c>
      <c r="C35" s="30" t="s">
        <v>81</v>
      </c>
      <c r="D35" s="30" t="s">
        <v>81</v>
      </c>
      <c r="E35" s="30" t="s">
        <v>81</v>
      </c>
      <c r="F35" s="30" t="s">
        <v>81</v>
      </c>
      <c r="G35" s="30" t="s">
        <v>81</v>
      </c>
      <c r="H35" s="32" t="s">
        <v>87</v>
      </c>
      <c r="J35" s="24" t="s">
        <v>100</v>
      </c>
      <c r="K35" s="24" t="s">
        <v>100</v>
      </c>
      <c r="L35" s="24" t="s">
        <v>100</v>
      </c>
      <c r="M35" s="24" t="s">
        <v>100</v>
      </c>
      <c r="N35" s="60" t="s">
        <v>100</v>
      </c>
    </row>
    <row r="36" spans="2:14" x14ac:dyDescent="0.3">
      <c r="B36" s="5">
        <f>B30*J36</f>
        <v>0</v>
      </c>
      <c r="C36" s="5">
        <f>C30*K36</f>
        <v>0</v>
      </c>
      <c r="D36" s="5">
        <f>D30*L36</f>
        <v>0</v>
      </c>
      <c r="E36" s="5">
        <f>E30*M36</f>
        <v>0</v>
      </c>
      <c r="F36" s="5">
        <f>F30*N36</f>
        <v>0</v>
      </c>
      <c r="G36" s="9">
        <f>SUM(B36:F36)</f>
        <v>0</v>
      </c>
      <c r="H36" s="9">
        <f>G36/$B$18</f>
        <v>0</v>
      </c>
      <c r="J36" s="89">
        <f>'1_Etat Initial'!J23</f>
        <v>0</v>
      </c>
      <c r="K36" s="89">
        <f>'1_Etat Initial'!K23</f>
        <v>0</v>
      </c>
      <c r="L36" s="89">
        <f>'1_Etat Initial'!L23</f>
        <v>0</v>
      </c>
      <c r="M36" s="89">
        <f>'1_Etat Initial'!M23</f>
        <v>0</v>
      </c>
      <c r="N36" s="89">
        <f>'1_Etat Initial'!N23</f>
        <v>0</v>
      </c>
    </row>
    <row r="37" spans="2:14" s="86" customFormat="1" ht="12" x14ac:dyDescent="0.2">
      <c r="B37" s="87" t="e">
        <f>(B36-'1_Etat Initial'!B23)/'1_Etat Initial'!B23</f>
        <v>#DIV/0!</v>
      </c>
      <c r="C37" s="87" t="e">
        <f>(C36-'1_Etat Initial'!C23)/'1_Etat Initial'!C23</f>
        <v>#DIV/0!</v>
      </c>
      <c r="D37" s="87" t="e">
        <f>(D36-'1_Etat Initial'!D23)/'1_Etat Initial'!D23</f>
        <v>#DIV/0!</v>
      </c>
      <c r="E37" s="87" t="e">
        <f>(E36-'1_Etat Initial'!E23)/'1_Etat Initial'!E23</f>
        <v>#DIV/0!</v>
      </c>
      <c r="F37" s="87" t="e">
        <f>(F36-'1_Etat Initial'!F23)/'1_Etat Initial'!F23</f>
        <v>#DIV/0!</v>
      </c>
      <c r="G37" s="87" t="e">
        <f>(G36-'1_Etat Initial'!G23)/'1_Etat Initial'!G23</f>
        <v>#DIV/0!</v>
      </c>
      <c r="H37" s="87" t="e">
        <f>(H36-'1_Etat Initial'!H23)/'1_Etat Initial'!H23</f>
        <v>#DIV/0!</v>
      </c>
    </row>
    <row r="39" spans="2:14" ht="16.5" customHeight="1" x14ac:dyDescent="0.3">
      <c r="B39" s="136" t="s">
        <v>56</v>
      </c>
      <c r="C39" s="137"/>
      <c r="D39" s="137"/>
      <c r="E39" s="137"/>
      <c r="F39" s="137"/>
      <c r="G39" s="27"/>
      <c r="H39" s="27"/>
      <c r="J39" s="136" t="s">
        <v>60</v>
      </c>
      <c r="K39" s="137"/>
      <c r="L39" s="137"/>
      <c r="M39" s="137"/>
      <c r="N39" s="138"/>
    </row>
    <row r="40" spans="2:14" ht="12.6" customHeight="1" x14ac:dyDescent="0.3">
      <c r="B40" s="69" t="s">
        <v>54</v>
      </c>
      <c r="C40" s="52" t="s">
        <v>55</v>
      </c>
      <c r="D40" s="52" t="str">
        <f>$D$22</f>
        <v>Autre 1</v>
      </c>
      <c r="E40" s="52" t="str">
        <f>$E$22</f>
        <v>Autre 2</v>
      </c>
      <c r="F40" s="52" t="str">
        <f>$F$22</f>
        <v>Autre 3</v>
      </c>
      <c r="G40" s="52" t="s">
        <v>82</v>
      </c>
      <c r="H40" s="63" t="s">
        <v>82</v>
      </c>
      <c r="J40" s="69" t="s">
        <v>54</v>
      </c>
      <c r="K40" s="52" t="s">
        <v>55</v>
      </c>
      <c r="L40" s="52" t="str">
        <f>$D$22</f>
        <v>Autre 1</v>
      </c>
      <c r="M40" s="52" t="str">
        <f>$E$22</f>
        <v>Autre 2</v>
      </c>
      <c r="N40" s="63" t="str">
        <f>$F$22</f>
        <v>Autre 3</v>
      </c>
    </row>
    <row r="41" spans="2:14" ht="12.6" customHeight="1" x14ac:dyDescent="0.3">
      <c r="B41" s="24" t="s">
        <v>117</v>
      </c>
      <c r="C41" s="30" t="s">
        <v>117</v>
      </c>
      <c r="D41" s="30" t="s">
        <v>117</v>
      </c>
      <c r="E41" s="30" t="s">
        <v>117</v>
      </c>
      <c r="F41" s="30" t="s">
        <v>117</v>
      </c>
      <c r="G41" s="30" t="s">
        <v>117</v>
      </c>
      <c r="H41" s="32" t="s">
        <v>118</v>
      </c>
      <c r="J41" s="24" t="s">
        <v>99</v>
      </c>
      <c r="K41" s="30" t="s">
        <v>99</v>
      </c>
      <c r="L41" s="30" t="s">
        <v>99</v>
      </c>
      <c r="M41" s="30" t="s">
        <v>99</v>
      </c>
      <c r="N41" s="32" t="s">
        <v>99</v>
      </c>
    </row>
    <row r="42" spans="2:14" x14ac:dyDescent="0.3">
      <c r="B42" s="7">
        <f>B30*J42/1000</f>
        <v>-15.753</v>
      </c>
      <c r="C42" s="7">
        <f t="shared" ref="C42:F42" si="0">C30*K42/1000</f>
        <v>0</v>
      </c>
      <c r="D42" s="7">
        <f t="shared" si="0"/>
        <v>0</v>
      </c>
      <c r="E42" s="7">
        <f t="shared" si="0"/>
        <v>0</v>
      </c>
      <c r="F42" s="7">
        <f t="shared" si="0"/>
        <v>0</v>
      </c>
      <c r="G42" s="8">
        <f>SUM(B42:F42)</f>
        <v>-15.753</v>
      </c>
      <c r="H42" s="9">
        <f>G42/$B$18</f>
        <v>-1.5753E-2</v>
      </c>
      <c r="J42" s="4">
        <f>'1_Etat Initial'!J28</f>
        <v>75</v>
      </c>
      <c r="K42" s="4">
        <f>'1_Etat Initial'!K28</f>
        <v>0</v>
      </c>
      <c r="L42" s="4">
        <f>'1_Etat Initial'!L28</f>
        <v>219</v>
      </c>
      <c r="M42" s="4">
        <f>'1_Etat Initial'!M28</f>
        <v>0</v>
      </c>
      <c r="N42" s="4">
        <f>'1_Etat Initial'!N28</f>
        <v>0</v>
      </c>
    </row>
    <row r="43" spans="2:14" s="86" customFormat="1" ht="12" x14ac:dyDescent="0.2">
      <c r="B43" s="87" t="e">
        <f>(B42-'1_Etat Initial'!B28)/'1_Etat Initial'!B28</f>
        <v>#DIV/0!</v>
      </c>
      <c r="C43" s="87" t="e">
        <f>(C42-'1_Etat Initial'!C28)/'1_Etat Initial'!C28</f>
        <v>#DIV/0!</v>
      </c>
      <c r="D43" s="87" t="e">
        <f>(D42-'1_Etat Initial'!D28)/'1_Etat Initial'!D28</f>
        <v>#DIV/0!</v>
      </c>
      <c r="E43" s="87" t="e">
        <f>(E42-'1_Etat Initial'!E28)/'1_Etat Initial'!E28</f>
        <v>#DIV/0!</v>
      </c>
      <c r="F43" s="87" t="e">
        <f>(F42-'1_Etat Initial'!F28)/'1_Etat Initial'!F28</f>
        <v>#DIV/0!</v>
      </c>
      <c r="G43" s="87" t="e">
        <f>(G42-'1_Etat Initial'!G28)/'1_Etat Initial'!G28</f>
        <v>#DIV/0!</v>
      </c>
      <c r="H43" s="87" t="e">
        <f>(H42-'1_Etat Initial'!H28)/'1_Etat Initial'!H28</f>
        <v>#DIV/0!</v>
      </c>
    </row>
    <row r="45" spans="2:14" ht="16.5" customHeight="1" x14ac:dyDescent="0.3">
      <c r="B45" s="136" t="s">
        <v>66</v>
      </c>
      <c r="C45" s="137"/>
      <c r="D45" s="137"/>
      <c r="E45" s="137"/>
      <c r="F45" s="138"/>
    </row>
    <row r="46" spans="2:14" s="13" customFormat="1" ht="16.5" customHeight="1" x14ac:dyDescent="0.3">
      <c r="B46" s="156" t="s">
        <v>70</v>
      </c>
      <c r="C46" s="157"/>
      <c r="D46" s="157" t="s">
        <v>71</v>
      </c>
      <c r="E46" s="157"/>
      <c r="F46" s="33"/>
      <c r="G46" s="12"/>
      <c r="H46" s="12"/>
    </row>
    <row r="47" spans="2:14" ht="24.95" customHeight="1" x14ac:dyDescent="0.3">
      <c r="B47" s="68" t="s">
        <v>64</v>
      </c>
      <c r="C47" s="51" t="s">
        <v>69</v>
      </c>
      <c r="D47" s="51" t="s">
        <v>64</v>
      </c>
      <c r="E47" s="51" t="s">
        <v>69</v>
      </c>
      <c r="F47" s="62" t="s">
        <v>67</v>
      </c>
    </row>
    <row r="48" spans="2:14" x14ac:dyDescent="0.3">
      <c r="B48" s="6"/>
      <c r="C48" s="6"/>
      <c r="D48" s="6"/>
      <c r="E48" s="6"/>
      <c r="F48" s="9">
        <f>B48+C48</f>
        <v>0</v>
      </c>
    </row>
    <row r="49" spans="2:8" s="86" customFormat="1" ht="12" x14ac:dyDescent="0.2">
      <c r="B49" s="87" t="e">
        <f>(B48-'1_Etat Initial'!B34)/'1_Etat Initial'!B34</f>
        <v>#DIV/0!</v>
      </c>
      <c r="C49" s="87" t="e">
        <f>(C48-'1_Etat Initial'!C34)/'1_Etat Initial'!C34</f>
        <v>#DIV/0!</v>
      </c>
      <c r="D49" s="87" t="e">
        <f>(D48-'1_Etat Initial'!D34)/'1_Etat Initial'!D34</f>
        <v>#DIV/0!</v>
      </c>
      <c r="E49" s="87" t="e">
        <f>(E48-'1_Etat Initial'!E34)/'1_Etat Initial'!E34</f>
        <v>#DIV/0!</v>
      </c>
      <c r="F49" s="87" t="e">
        <f>(F48-'1_Etat Initial'!F34)/'1_Etat Initial'!F34</f>
        <v>#DIV/0!</v>
      </c>
      <c r="G49" s="87"/>
      <c r="H49" s="87"/>
    </row>
    <row r="51" spans="2:8" x14ac:dyDescent="0.3">
      <c r="B51" s="136" t="s">
        <v>111</v>
      </c>
      <c r="C51" s="137"/>
      <c r="D51" s="137"/>
      <c r="E51" s="137"/>
      <c r="F51" s="27"/>
      <c r="G51" s="14"/>
      <c r="H51" s="14"/>
    </row>
    <row r="52" spans="2:8" ht="24.95" customHeight="1" x14ac:dyDescent="0.3">
      <c r="B52" s="68" t="s">
        <v>61</v>
      </c>
      <c r="C52" s="51" t="s">
        <v>62</v>
      </c>
      <c r="D52" s="51" t="s">
        <v>63</v>
      </c>
      <c r="E52" s="51" t="s">
        <v>65</v>
      </c>
      <c r="F52" s="62" t="s">
        <v>64</v>
      </c>
      <c r="G52" s="15"/>
      <c r="H52" s="15"/>
    </row>
    <row r="53" spans="2:8" x14ac:dyDescent="0.3">
      <c r="B53" s="4">
        <f>SUMPRODUCT(B23:F23,B30:F30)/G30</f>
        <v>0.19900000000000001</v>
      </c>
      <c r="C53" s="4">
        <f>SUMPRODUCT(B24:F24,B30:F30)/G30</f>
        <v>0.113</v>
      </c>
      <c r="D53" s="4">
        <f>SUMPRODUCT(B25:F25,B30:F30)/G30</f>
        <v>0.68799999999999983</v>
      </c>
      <c r="E53" s="10">
        <f>F48/G30</f>
        <v>0</v>
      </c>
      <c r="F53" s="10" t="e">
        <f>(B48+D48)/F48</f>
        <v>#DIV/0!</v>
      </c>
      <c r="G53" s="16"/>
      <c r="H53" s="16"/>
    </row>
    <row r="54" spans="2:8" s="86" customFormat="1" ht="12" x14ac:dyDescent="0.2">
      <c r="B54" s="87" t="e">
        <f>(B53-'1_Etat Initial'!B37)/'1_Etat Initial'!B37</f>
        <v>#DIV/0!</v>
      </c>
      <c r="C54" s="87" t="e">
        <f>(C53-'1_Etat Initial'!C37)/'1_Etat Initial'!C37</f>
        <v>#DIV/0!</v>
      </c>
      <c r="D54" s="87" t="e">
        <f>(D53-'1_Etat Initial'!D37)/'1_Etat Initial'!D37</f>
        <v>#DIV/0!</v>
      </c>
      <c r="E54" s="87" t="e">
        <f>(E53-'1_Etat Initial'!E37)/'1_Etat Initial'!E37</f>
        <v>#DIV/0!</v>
      </c>
      <c r="F54" s="87" t="e">
        <f>(F53-'1_Etat Initial'!F37)/'1_Etat Initial'!F37</f>
        <v>#DIV/0!</v>
      </c>
      <c r="G54" s="87"/>
      <c r="H54" s="87"/>
    </row>
    <row r="55" spans="2:8" x14ac:dyDescent="0.3">
      <c r="F55" s="1"/>
    </row>
    <row r="56" spans="2:8" ht="16.5" customHeight="1" x14ac:dyDescent="0.3">
      <c r="B56" s="136" t="s">
        <v>112</v>
      </c>
      <c r="C56" s="137"/>
      <c r="D56" s="137"/>
      <c r="E56" s="138"/>
      <c r="F56" s="14"/>
      <c r="G56" s="14"/>
      <c r="H56" s="14"/>
    </row>
    <row r="57" spans="2:8" ht="24.95" customHeight="1" x14ac:dyDescent="0.3">
      <c r="B57" s="68" t="s">
        <v>113</v>
      </c>
      <c r="C57" s="68" t="s">
        <v>114</v>
      </c>
      <c r="D57" s="68" t="s">
        <v>115</v>
      </c>
      <c r="E57" s="92" t="s">
        <v>116</v>
      </c>
      <c r="F57" s="15"/>
      <c r="G57" s="15"/>
      <c r="H57" s="15"/>
    </row>
    <row r="58" spans="2:8" x14ac:dyDescent="0.3">
      <c r="B58" s="4">
        <f>G36</f>
        <v>0</v>
      </c>
      <c r="C58" s="4">
        <f>H36</f>
        <v>0</v>
      </c>
      <c r="D58" s="88">
        <f>'1_Etat Initial'!D41-'2_Plan d''actions'!O53</f>
        <v>0</v>
      </c>
      <c r="E58" s="89">
        <f>D58/B18</f>
        <v>0</v>
      </c>
      <c r="F58" s="16"/>
      <c r="G58" s="16"/>
      <c r="H58" s="16"/>
    </row>
    <row r="59" spans="2:8" s="86" customFormat="1" ht="12" x14ac:dyDescent="0.2">
      <c r="B59" s="87" t="e">
        <f>(B58-'1_Etat Initial'!B41)/'1_Etat Initial'!B41</f>
        <v>#DIV/0!</v>
      </c>
      <c r="C59" s="87" t="e">
        <f>(C58-'1_Etat Initial'!C41)/'1_Etat Initial'!C41</f>
        <v>#DIV/0!</v>
      </c>
      <c r="D59" s="87" t="e">
        <f>(D58-'1_Etat Initial'!D41)/'1_Etat Initial'!D41</f>
        <v>#DIV/0!</v>
      </c>
      <c r="E59" s="87" t="e">
        <f>(E58-'1_Etat Initial'!E41)/'1_Etat Initial'!E41</f>
        <v>#DIV/0!</v>
      </c>
      <c r="F59" s="87"/>
      <c r="G59" s="87"/>
      <c r="H59" s="87"/>
    </row>
  </sheetData>
  <mergeCells count="15">
    <mergeCell ref="J10:M10"/>
    <mergeCell ref="B45:F45"/>
    <mergeCell ref="B46:C46"/>
    <mergeCell ref="D46:E46"/>
    <mergeCell ref="J33:N33"/>
    <mergeCell ref="J39:N39"/>
    <mergeCell ref="B51:E51"/>
    <mergeCell ref="B56:E56"/>
    <mergeCell ref="B6:D6"/>
    <mergeCell ref="B16:D16"/>
    <mergeCell ref="B21:F21"/>
    <mergeCell ref="B27:F27"/>
    <mergeCell ref="B33:F33"/>
    <mergeCell ref="B39:F39"/>
    <mergeCell ref="B10:G10"/>
  </mergeCells>
  <pageMargins left="0.23622047244094491" right="0.23622047244094491" top="0.74803149606299213" bottom="0.74803149606299213" header="0.31496062992125984" footer="0.31496062992125984"/>
  <pageSetup paperSize="9" scale="60" orientation="portrait" verticalDpi="0" r:id="rId1"/>
  <headerFooter>
    <oddHeader>&amp;CCPU | PEEC 2030</oddHeader>
    <oddFooter>&amp;L&amp;G&amp;CFévrier 2019 | Page &amp;P / &amp;N&amp;R&amp;"Segoe UI,Normal"&amp;14&amp;G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"/>
  <sheetViews>
    <sheetView zoomScaleNormal="100" workbookViewId="0">
      <selection activeCell="K20" sqref="K2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H7"/>
  <sheetViews>
    <sheetView workbookViewId="0">
      <selection activeCell="G3" sqref="G3"/>
    </sheetView>
  </sheetViews>
  <sheetFormatPr baseColWidth="10" defaultRowHeight="15" x14ac:dyDescent="0.25"/>
  <sheetData>
    <row r="1" spans="1:8" x14ac:dyDescent="0.25">
      <c r="A1" t="s">
        <v>35</v>
      </c>
      <c r="D1" t="s">
        <v>11</v>
      </c>
      <c r="E1" t="s">
        <v>13</v>
      </c>
      <c r="F1" t="s">
        <v>12</v>
      </c>
      <c r="G1" t="s">
        <v>181</v>
      </c>
      <c r="H1" s="73" t="s">
        <v>104</v>
      </c>
    </row>
    <row r="2" spans="1:8" x14ac:dyDescent="0.25">
      <c r="A2" t="s">
        <v>8</v>
      </c>
      <c r="D2" t="s">
        <v>12</v>
      </c>
      <c r="E2" t="s">
        <v>14</v>
      </c>
      <c r="F2" t="s">
        <v>47</v>
      </c>
      <c r="G2" t="s">
        <v>182</v>
      </c>
      <c r="H2" t="s">
        <v>105</v>
      </c>
    </row>
    <row r="3" spans="1:8" x14ac:dyDescent="0.25">
      <c r="A3" t="s">
        <v>3</v>
      </c>
      <c r="E3" t="s">
        <v>15</v>
      </c>
      <c r="F3" t="s">
        <v>48</v>
      </c>
      <c r="G3" t="str">
        <f>'1_Etat Initial'!D9</f>
        <v>Gaz</v>
      </c>
      <c r="H3" s="74" t="s">
        <v>106</v>
      </c>
    </row>
    <row r="4" spans="1:8" x14ac:dyDescent="0.25">
      <c r="A4" t="s">
        <v>9</v>
      </c>
      <c r="F4" t="s">
        <v>49</v>
      </c>
      <c r="G4" t="str">
        <f>'1_Etat Initial'!E9</f>
        <v>Autre 1</v>
      </c>
    </row>
    <row r="5" spans="1:8" x14ac:dyDescent="0.25">
      <c r="A5" t="s">
        <v>10</v>
      </c>
      <c r="G5" t="str">
        <f>'1_Etat Initial'!F9</f>
        <v>Autre 2</v>
      </c>
    </row>
    <row r="6" spans="1:8" x14ac:dyDescent="0.25">
      <c r="A6" t="s">
        <v>1</v>
      </c>
    </row>
    <row r="7" spans="1:8" x14ac:dyDescent="0.25">
      <c r="A7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1_Etat Initial</vt:lpstr>
      <vt:lpstr>2_Plan d'actions</vt:lpstr>
      <vt:lpstr>3_Etat Final</vt:lpstr>
      <vt:lpstr>Feuil1</vt:lpstr>
      <vt:lpstr>liste</vt:lpstr>
      <vt:lpstr>'2_Plan d''actions'!Impression_des_titres</vt:lpstr>
      <vt:lpstr>'1_Etat Initial'!Zone_d_impression</vt:lpstr>
      <vt:lpstr>'2_Plan d''actions'!Zone_d_impression</vt:lpstr>
      <vt:lpstr>'3_Etat Final'!Zone_d_impression</vt:lpstr>
    </vt:vector>
  </TitlesOfParts>
  <Company>Egis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BOTTAUSCI Manon</dc:creator>
  <cp:lastModifiedBy>CPU</cp:lastModifiedBy>
  <cp:lastPrinted>2019-02-17T20:48:50Z</cp:lastPrinted>
  <dcterms:created xsi:type="dcterms:W3CDTF">2018-06-22T13:32:40Z</dcterms:created>
  <dcterms:modified xsi:type="dcterms:W3CDTF">2019-02-19T14:59:10Z</dcterms:modified>
</cp:coreProperties>
</file>